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\Desktop\"/>
    </mc:Choice>
  </mc:AlternateContent>
  <bookViews>
    <workbookView xWindow="480" yWindow="540" windowWidth="11040" windowHeight="7005"/>
  </bookViews>
  <sheets>
    <sheet name="Betjening og totaludskrift " sheetId="7" r:id="rId1"/>
    <sheet name="Udskriv diagram herfra" sheetId="9" r:id="rId2"/>
    <sheet name="Sheet1" sheetId="1" state="hidden" r:id="rId3"/>
    <sheet name="Sheet2 (2)" sheetId="4" state="hidden" r:id="rId4"/>
    <sheet name="Sheet2" sheetId="2" state="hidden" r:id="rId5"/>
    <sheet name="Sheet3" sheetId="3" state="hidden" r:id="rId6"/>
  </sheets>
  <calcPr calcId="152511"/>
</workbook>
</file>

<file path=xl/calcChain.xml><?xml version="1.0" encoding="utf-8"?>
<calcChain xmlns="http://schemas.openxmlformats.org/spreadsheetml/2006/main">
  <c r="E30" i="7" l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4" i="7"/>
  <c r="AC6" i="1" l="1"/>
  <c r="AC7" i="1"/>
  <c r="AC8" i="1"/>
  <c r="AC9" i="1"/>
  <c r="AC14" i="1"/>
  <c r="AC15" i="1"/>
  <c r="AC16" i="1"/>
  <c r="AC17" i="1"/>
  <c r="AC22" i="1"/>
  <c r="AC3" i="1"/>
  <c r="AC2" i="1"/>
  <c r="AD21" i="1"/>
  <c r="AC21" i="1" s="1"/>
  <c r="AD22" i="1"/>
  <c r="AD4" i="1"/>
  <c r="AC4" i="1" s="1"/>
  <c r="AD5" i="1"/>
  <c r="AC5" i="1" s="1"/>
  <c r="AD6" i="1"/>
  <c r="AD7" i="1"/>
  <c r="AD8" i="1"/>
  <c r="AD9" i="1"/>
  <c r="AD10" i="1"/>
  <c r="AC10" i="1" s="1"/>
  <c r="AD11" i="1"/>
  <c r="AC11" i="1" s="1"/>
  <c r="AD12" i="1"/>
  <c r="AC12" i="1" s="1"/>
  <c r="AD13" i="1"/>
  <c r="AC13" i="1" s="1"/>
  <c r="AD14" i="1"/>
  <c r="AD15" i="1"/>
  <c r="AD16" i="1"/>
  <c r="AD17" i="1"/>
  <c r="AD18" i="1"/>
  <c r="AC18" i="1" s="1"/>
  <c r="AD19" i="1"/>
  <c r="AC19" i="1" s="1"/>
  <c r="AD20" i="1"/>
  <c r="AC20" i="1" s="1"/>
  <c r="AD3" i="1"/>
  <c r="AD2" i="1"/>
  <c r="AX2" i="4"/>
  <c r="H20" i="1"/>
  <c r="Q5" i="4"/>
  <c r="Z5" i="4"/>
  <c r="AC25" i="4"/>
  <c r="Z25" i="4"/>
  <c r="W25" i="4"/>
  <c r="AL25" i="4" s="1"/>
  <c r="T25" i="4"/>
  <c r="Q25" i="4"/>
  <c r="N25" i="4"/>
  <c r="K25" i="4"/>
  <c r="H25" i="4"/>
  <c r="E25" i="4"/>
  <c r="AI25" i="4" s="1"/>
  <c r="B25" i="4"/>
  <c r="AF25" i="4" s="1"/>
  <c r="AR24" i="4"/>
  <c r="AF24" i="4"/>
  <c r="AC24" i="4"/>
  <c r="Z24" i="4"/>
  <c r="W24" i="4"/>
  <c r="T24" i="4"/>
  <c r="Q24" i="4"/>
  <c r="N24" i="4"/>
  <c r="K24" i="4"/>
  <c r="AO24" i="4" s="1"/>
  <c r="H24" i="4"/>
  <c r="AL24" i="4" s="1"/>
  <c r="E24" i="4"/>
  <c r="B24" i="4"/>
  <c r="AC23" i="4"/>
  <c r="Z23" i="4"/>
  <c r="AO23" i="4" s="1"/>
  <c r="W23" i="4"/>
  <c r="T23" i="4"/>
  <c r="Q23" i="4"/>
  <c r="AF23" i="4" s="1"/>
  <c r="N23" i="4"/>
  <c r="K23" i="4"/>
  <c r="H23" i="4"/>
  <c r="E23" i="4"/>
  <c r="B23" i="4"/>
  <c r="AC22" i="4"/>
  <c r="Z22" i="4"/>
  <c r="AO22" i="4" s="1"/>
  <c r="W22" i="4"/>
  <c r="T22" i="4"/>
  <c r="Q22" i="4"/>
  <c r="N22" i="4"/>
  <c r="K22" i="4"/>
  <c r="H22" i="4"/>
  <c r="AL22" i="4" s="1"/>
  <c r="E22" i="4"/>
  <c r="AI22" i="4" s="1"/>
  <c r="B22" i="4"/>
  <c r="AF22" i="4" s="1"/>
  <c r="AC21" i="4"/>
  <c r="Z21" i="4"/>
  <c r="W21" i="4"/>
  <c r="T21" i="4"/>
  <c r="AI21" i="4" s="1"/>
  <c r="Q21" i="4"/>
  <c r="N21" i="4"/>
  <c r="AR21" i="4" s="1"/>
  <c r="K21" i="4"/>
  <c r="AO21" i="4" s="1"/>
  <c r="H21" i="4"/>
  <c r="E21" i="4"/>
  <c r="B21" i="4"/>
  <c r="AC20" i="4"/>
  <c r="Z20" i="4"/>
  <c r="W20" i="4"/>
  <c r="T20" i="4"/>
  <c r="Q20" i="4"/>
  <c r="N20" i="4"/>
  <c r="AR20" i="4" s="1"/>
  <c r="K20" i="4"/>
  <c r="H20" i="4"/>
  <c r="E20" i="4"/>
  <c r="B20" i="4"/>
  <c r="AF20" i="4" s="1"/>
  <c r="AO19" i="4"/>
  <c r="AC19" i="4"/>
  <c r="Z19" i="4"/>
  <c r="W19" i="4"/>
  <c r="T19" i="4"/>
  <c r="Q19" i="4"/>
  <c r="AF19" i="4" s="1"/>
  <c r="N19" i="4"/>
  <c r="K19" i="4"/>
  <c r="H19" i="4"/>
  <c r="AL19" i="4" s="1"/>
  <c r="E19" i="4"/>
  <c r="AI19" i="4" s="1"/>
  <c r="B19" i="4"/>
  <c r="AC18" i="4"/>
  <c r="Z18" i="4"/>
  <c r="AO18" i="4" s="1"/>
  <c r="W18" i="4"/>
  <c r="T18" i="4"/>
  <c r="Q18" i="4"/>
  <c r="N18" i="4"/>
  <c r="AR18" i="4" s="1"/>
  <c r="K18" i="4"/>
  <c r="H18" i="4"/>
  <c r="AL18" i="4" s="1"/>
  <c r="E18" i="4"/>
  <c r="B18" i="4"/>
  <c r="AC17" i="4"/>
  <c r="Z17" i="4"/>
  <c r="W17" i="4"/>
  <c r="T17" i="4"/>
  <c r="Q17" i="4"/>
  <c r="N17" i="4"/>
  <c r="K17" i="4"/>
  <c r="H17" i="4"/>
  <c r="E17" i="4"/>
  <c r="AI17" i="4" s="1"/>
  <c r="B17" i="4"/>
  <c r="AF17" i="4" s="1"/>
  <c r="AC16" i="4"/>
  <c r="Z16" i="4"/>
  <c r="W16" i="4"/>
  <c r="T16" i="4"/>
  <c r="AI16" i="4" s="1"/>
  <c r="Q16" i="4"/>
  <c r="N16" i="4"/>
  <c r="AR16" i="4" s="1"/>
  <c r="K16" i="4"/>
  <c r="AO16" i="4" s="1"/>
  <c r="H16" i="4"/>
  <c r="E16" i="4"/>
  <c r="B16" i="4"/>
  <c r="AF16" i="4" s="1"/>
  <c r="AC15" i="4"/>
  <c r="AR15" i="4" s="1"/>
  <c r="Z15" i="4"/>
  <c r="AO15" i="4" s="1"/>
  <c r="W15" i="4"/>
  <c r="T15" i="4"/>
  <c r="Q15" i="4"/>
  <c r="N15" i="4"/>
  <c r="K15" i="4"/>
  <c r="H15" i="4"/>
  <c r="E15" i="4"/>
  <c r="AI15" i="4" s="1"/>
  <c r="B15" i="4"/>
  <c r="AC14" i="4"/>
  <c r="Z14" i="4"/>
  <c r="W14" i="4"/>
  <c r="T14" i="4"/>
  <c r="Q14" i="4"/>
  <c r="N14" i="4"/>
  <c r="AR14" i="4" s="1"/>
  <c r="K14" i="4"/>
  <c r="H14" i="4"/>
  <c r="AL14" i="4" s="1"/>
  <c r="E14" i="4"/>
  <c r="AI14" i="4" s="1"/>
  <c r="B14" i="4"/>
  <c r="AC13" i="4"/>
  <c r="Z13" i="4"/>
  <c r="W13" i="4"/>
  <c r="AL13" i="4" s="1"/>
  <c r="T13" i="4"/>
  <c r="Q13" i="4"/>
  <c r="N13" i="4"/>
  <c r="AR13" i="4" s="1"/>
  <c r="K13" i="4"/>
  <c r="H13" i="4"/>
  <c r="E13" i="4"/>
  <c r="AI13" i="4" s="1"/>
  <c r="B13" i="4"/>
  <c r="AF12" i="4"/>
  <c r="AC12" i="4"/>
  <c r="AR12" i="4" s="1"/>
  <c r="Z12" i="4"/>
  <c r="W12" i="4"/>
  <c r="T12" i="4"/>
  <c r="Q12" i="4"/>
  <c r="N12" i="4"/>
  <c r="K12" i="4"/>
  <c r="AO12" i="4" s="1"/>
  <c r="H12" i="4"/>
  <c r="AL12" i="4" s="1"/>
  <c r="E12" i="4"/>
  <c r="B12" i="4"/>
  <c r="AC11" i="4"/>
  <c r="Z11" i="4"/>
  <c r="W11" i="4"/>
  <c r="T11" i="4"/>
  <c r="Q11" i="4"/>
  <c r="AF11" i="4" s="1"/>
  <c r="N11" i="4"/>
  <c r="K11" i="4"/>
  <c r="AO11" i="4" s="1"/>
  <c r="H11" i="4"/>
  <c r="E11" i="4"/>
  <c r="B11" i="4"/>
  <c r="AC10" i="4"/>
  <c r="Z10" i="4"/>
  <c r="AO10" i="4" s="1"/>
  <c r="W10" i="4"/>
  <c r="T10" i="4"/>
  <c r="Q10" i="4"/>
  <c r="N10" i="4"/>
  <c r="K10" i="4"/>
  <c r="H10" i="4"/>
  <c r="AL10" i="4" s="1"/>
  <c r="E10" i="4"/>
  <c r="AI10" i="4" s="1"/>
  <c r="B10" i="4"/>
  <c r="AF10" i="4" s="1"/>
  <c r="AI9" i="4"/>
  <c r="AC9" i="4"/>
  <c r="Z9" i="4"/>
  <c r="W9" i="4"/>
  <c r="T9" i="4"/>
  <c r="Q9" i="4"/>
  <c r="N9" i="4"/>
  <c r="AR9" i="4" s="1"/>
  <c r="K9" i="4"/>
  <c r="AO9" i="4" s="1"/>
  <c r="H9" i="4"/>
  <c r="E9" i="4"/>
  <c r="B9" i="4"/>
  <c r="AC8" i="4"/>
  <c r="AR8" i="4" s="1"/>
  <c r="Z8" i="4"/>
  <c r="W8" i="4"/>
  <c r="T8" i="4"/>
  <c r="AI8" i="4" s="1"/>
  <c r="Q8" i="4"/>
  <c r="N8" i="4"/>
  <c r="K8" i="4"/>
  <c r="H8" i="4"/>
  <c r="E8" i="4"/>
  <c r="B8" i="4"/>
  <c r="AF8" i="4" s="1"/>
  <c r="AO7" i="4"/>
  <c r="AC7" i="4"/>
  <c r="AR7" i="4" s="1"/>
  <c r="Z7" i="4"/>
  <c r="W7" i="4"/>
  <c r="T7" i="4"/>
  <c r="Q7" i="4"/>
  <c r="N7" i="4"/>
  <c r="K7" i="4"/>
  <c r="H7" i="4"/>
  <c r="AL7" i="4" s="1"/>
  <c r="E7" i="4"/>
  <c r="AI7" i="4" s="1"/>
  <c r="B7" i="4"/>
  <c r="AC6" i="4"/>
  <c r="Z6" i="4"/>
  <c r="W6" i="4"/>
  <c r="T6" i="4"/>
  <c r="Q6" i="4"/>
  <c r="N6" i="4"/>
  <c r="AR6" i="4" s="1"/>
  <c r="K6" i="4"/>
  <c r="H6" i="4"/>
  <c r="AL6" i="4" s="1"/>
  <c r="E6" i="4"/>
  <c r="B6" i="4"/>
  <c r="AC5" i="4"/>
  <c r="W5" i="4"/>
  <c r="AL5" i="4" s="1"/>
  <c r="T5" i="4"/>
  <c r="AI5" i="4" s="1"/>
  <c r="N5" i="4"/>
  <c r="K5" i="4"/>
  <c r="H5" i="4"/>
  <c r="E5" i="4"/>
  <c r="B5" i="4"/>
  <c r="BA16" i="4" l="1"/>
  <c r="AO6" i="4"/>
  <c r="AF7" i="4"/>
  <c r="BA7" i="4" s="1"/>
  <c r="AL8" i="4"/>
  <c r="BA8" i="4" s="1"/>
  <c r="AR17" i="4"/>
  <c r="AI18" i="4"/>
  <c r="AO20" i="4"/>
  <c r="AL21" i="4"/>
  <c r="AR22" i="4"/>
  <c r="BA22" i="4" s="1"/>
  <c r="AI23" i="4"/>
  <c r="BA23" i="4" s="1"/>
  <c r="AR23" i="4"/>
  <c r="AI24" i="4"/>
  <c r="BA24" i="4" s="1"/>
  <c r="AF18" i="4"/>
  <c r="BA18" i="4" s="1"/>
  <c r="AO8" i="4"/>
  <c r="AR10" i="4"/>
  <c r="BA10" i="4" s="1"/>
  <c r="AR11" i="4"/>
  <c r="AF21" i="4"/>
  <c r="BA21" i="4" s="1"/>
  <c r="AL23" i="4"/>
  <c r="AO25" i="4"/>
  <c r="BA25" i="4" s="1"/>
  <c r="AF13" i="4"/>
  <c r="AL15" i="4"/>
  <c r="AF6" i="4"/>
  <c r="AI6" i="4"/>
  <c r="AL9" i="4"/>
  <c r="AI11" i="4"/>
  <c r="BA11" i="4" s="1"/>
  <c r="AI12" i="4"/>
  <c r="BA12" i="4" s="1"/>
  <c r="AO5" i="4"/>
  <c r="AF9" i="4"/>
  <c r="AL11" i="4"/>
  <c r="AO13" i="4"/>
  <c r="AF14" i="4"/>
  <c r="AO14" i="4"/>
  <c r="AF15" i="4"/>
  <c r="BA15" i="4" s="1"/>
  <c r="AL16" i="4"/>
  <c r="AR25" i="4"/>
  <c r="AO17" i="4"/>
  <c r="AL20" i="4"/>
  <c r="BA20" i="4" s="1"/>
  <c r="AR5" i="4"/>
  <c r="AL17" i="4"/>
  <c r="BA17" i="4" s="1"/>
  <c r="AR19" i="4"/>
  <c r="BA19" i="4" s="1"/>
  <c r="AI20" i="4"/>
  <c r="AF5" i="4"/>
  <c r="AR10" i="2"/>
  <c r="AR18" i="2"/>
  <c r="AO6" i="2"/>
  <c r="AL10" i="2"/>
  <c r="AL18" i="2"/>
  <c r="AF6" i="2"/>
  <c r="AC6" i="2"/>
  <c r="AC7" i="2"/>
  <c r="AR7" i="2" s="1"/>
  <c r="AC8" i="2"/>
  <c r="AR8" i="2" s="1"/>
  <c r="AC9" i="2"/>
  <c r="AR9" i="2" s="1"/>
  <c r="AC10" i="2"/>
  <c r="AC11" i="2"/>
  <c r="AC12" i="2"/>
  <c r="AC13" i="2"/>
  <c r="AC14" i="2"/>
  <c r="AC15" i="2"/>
  <c r="AR15" i="2" s="1"/>
  <c r="AC16" i="2"/>
  <c r="AR16" i="2" s="1"/>
  <c r="AC17" i="2"/>
  <c r="AR17" i="2" s="1"/>
  <c r="AC18" i="2"/>
  <c r="AC19" i="2"/>
  <c r="AC20" i="2"/>
  <c r="AC21" i="2"/>
  <c r="AC22" i="2"/>
  <c r="AC23" i="2"/>
  <c r="AR23" i="2" s="1"/>
  <c r="AC24" i="2"/>
  <c r="AR24" i="2" s="1"/>
  <c r="AC25" i="2"/>
  <c r="AR25" i="2" s="1"/>
  <c r="AC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5" i="2"/>
  <c r="W25" i="2"/>
  <c r="AL25" i="2" s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5" i="2"/>
  <c r="T7" i="2"/>
  <c r="T8" i="2"/>
  <c r="AI8" i="2" s="1"/>
  <c r="T9" i="2"/>
  <c r="AI9" i="2" s="1"/>
  <c r="T10" i="2"/>
  <c r="AI10" i="2" s="1"/>
  <c r="T11" i="2"/>
  <c r="AI11" i="2" s="1"/>
  <c r="T12" i="2"/>
  <c r="T13" i="2"/>
  <c r="T14" i="2"/>
  <c r="T15" i="2"/>
  <c r="T16" i="2"/>
  <c r="AI16" i="2" s="1"/>
  <c r="T17" i="2"/>
  <c r="AI17" i="2" s="1"/>
  <c r="T18" i="2"/>
  <c r="AI18" i="2" s="1"/>
  <c r="T19" i="2"/>
  <c r="AI19" i="2" s="1"/>
  <c r="T20" i="2"/>
  <c r="T21" i="2"/>
  <c r="T22" i="2"/>
  <c r="T23" i="2"/>
  <c r="T24" i="2"/>
  <c r="T25" i="2"/>
  <c r="AI25" i="2" s="1"/>
  <c r="T6" i="2"/>
  <c r="AI6" i="2" s="1"/>
  <c r="T5" i="2"/>
  <c r="Q7" i="2"/>
  <c r="Q8" i="2"/>
  <c r="Q9" i="2"/>
  <c r="Q10" i="2"/>
  <c r="Q11" i="2"/>
  <c r="AF11" i="2" s="1"/>
  <c r="Q12" i="2"/>
  <c r="AF12" i="2" s="1"/>
  <c r="Q13" i="2"/>
  <c r="AF13" i="2" s="1"/>
  <c r="Q14" i="2"/>
  <c r="AF14" i="2" s="1"/>
  <c r="Q15" i="2"/>
  <c r="Q16" i="2"/>
  <c r="Q17" i="2"/>
  <c r="Q18" i="2"/>
  <c r="Q19" i="2"/>
  <c r="AF19" i="2" s="1"/>
  <c r="Q20" i="2"/>
  <c r="AF20" i="2" s="1"/>
  <c r="Q21" i="2"/>
  <c r="AF21" i="2" s="1"/>
  <c r="Q22" i="2"/>
  <c r="AF22" i="2" s="1"/>
  <c r="Q23" i="2"/>
  <c r="Q24" i="2"/>
  <c r="Q25" i="2"/>
  <c r="Q6" i="2"/>
  <c r="Q5" i="2"/>
  <c r="K6" i="2"/>
  <c r="K5" i="2"/>
  <c r="AO5" i="2" s="1"/>
  <c r="N5" i="2"/>
  <c r="AR5" i="2" s="1"/>
  <c r="K7" i="2"/>
  <c r="AO7" i="2" s="1"/>
  <c r="K8" i="2"/>
  <c r="AO8" i="2" s="1"/>
  <c r="K9" i="2"/>
  <c r="AO9" i="2" s="1"/>
  <c r="K10" i="2"/>
  <c r="AO10" i="2" s="1"/>
  <c r="K11" i="2"/>
  <c r="AO11" i="2" s="1"/>
  <c r="K12" i="2"/>
  <c r="AO12" i="2" s="1"/>
  <c r="K13" i="2"/>
  <c r="AO13" i="2" s="1"/>
  <c r="K14" i="2"/>
  <c r="AO14" i="2" s="1"/>
  <c r="K15" i="2"/>
  <c r="AO15" i="2" s="1"/>
  <c r="K16" i="2"/>
  <c r="AO16" i="2" s="1"/>
  <c r="K17" i="2"/>
  <c r="AO17" i="2" s="1"/>
  <c r="K18" i="2"/>
  <c r="AO18" i="2" s="1"/>
  <c r="K19" i="2"/>
  <c r="AO19" i="2" s="1"/>
  <c r="K20" i="2"/>
  <c r="AO20" i="2" s="1"/>
  <c r="K21" i="2"/>
  <c r="AO21" i="2" s="1"/>
  <c r="K22" i="2"/>
  <c r="AO22" i="2" s="1"/>
  <c r="K23" i="2"/>
  <c r="AO23" i="2" s="1"/>
  <c r="K24" i="2"/>
  <c r="AO24" i="2" s="1"/>
  <c r="K25" i="2"/>
  <c r="AO25" i="2" s="1"/>
  <c r="H25" i="2"/>
  <c r="H6" i="2"/>
  <c r="AL6" i="2" s="1"/>
  <c r="H7" i="2"/>
  <c r="AL7" i="2" s="1"/>
  <c r="H8" i="2"/>
  <c r="AL8" i="2" s="1"/>
  <c r="H9" i="2"/>
  <c r="AL9" i="2" s="1"/>
  <c r="H10" i="2"/>
  <c r="H11" i="2"/>
  <c r="AL11" i="2" s="1"/>
  <c r="H12" i="2"/>
  <c r="AL12" i="2" s="1"/>
  <c r="H13" i="2"/>
  <c r="AL13" i="2" s="1"/>
  <c r="H14" i="2"/>
  <c r="AL14" i="2" s="1"/>
  <c r="H15" i="2"/>
  <c r="AL15" i="2" s="1"/>
  <c r="H16" i="2"/>
  <c r="AL16" i="2" s="1"/>
  <c r="H17" i="2"/>
  <c r="AL17" i="2" s="1"/>
  <c r="H18" i="2"/>
  <c r="H19" i="2"/>
  <c r="AL19" i="2" s="1"/>
  <c r="H20" i="2"/>
  <c r="AL20" i="2" s="1"/>
  <c r="H21" i="2"/>
  <c r="AL21" i="2" s="1"/>
  <c r="H22" i="2"/>
  <c r="AL22" i="2" s="1"/>
  <c r="H23" i="2"/>
  <c r="AL23" i="2" s="1"/>
  <c r="H24" i="2"/>
  <c r="AL24" i="2" s="1"/>
  <c r="H5" i="2"/>
  <c r="AL5" i="2" s="1"/>
  <c r="E17" i="2"/>
  <c r="E18" i="2"/>
  <c r="E19" i="2"/>
  <c r="E20" i="2"/>
  <c r="AI20" i="2" s="1"/>
  <c r="E21" i="2"/>
  <c r="AI21" i="2" s="1"/>
  <c r="E22" i="2"/>
  <c r="AI22" i="2" s="1"/>
  <c r="E23" i="2"/>
  <c r="AI23" i="2" s="1"/>
  <c r="E24" i="2"/>
  <c r="AI24" i="2" s="1"/>
  <c r="E25" i="2"/>
  <c r="E6" i="2"/>
  <c r="E7" i="2"/>
  <c r="AI7" i="2" s="1"/>
  <c r="E8" i="2"/>
  <c r="E9" i="2"/>
  <c r="E10" i="2"/>
  <c r="E11" i="2"/>
  <c r="E12" i="2"/>
  <c r="AI12" i="2" s="1"/>
  <c r="E13" i="2"/>
  <c r="AI13" i="2" s="1"/>
  <c r="E14" i="2"/>
  <c r="AI14" i="2" s="1"/>
  <c r="E15" i="2"/>
  <c r="AI15" i="2" s="1"/>
  <c r="E16" i="2"/>
  <c r="E5" i="2"/>
  <c r="AI5" i="2" s="1"/>
  <c r="B7" i="2"/>
  <c r="AF7" i="2" s="1"/>
  <c r="B8" i="2"/>
  <c r="AF8" i="2" s="1"/>
  <c r="B9" i="2"/>
  <c r="AF9" i="2" s="1"/>
  <c r="B10" i="2"/>
  <c r="AF10" i="2" s="1"/>
  <c r="B11" i="2"/>
  <c r="B12" i="2"/>
  <c r="B13" i="2"/>
  <c r="B14" i="2"/>
  <c r="B15" i="2"/>
  <c r="AF15" i="2" s="1"/>
  <c r="B16" i="2"/>
  <c r="AF16" i="2" s="1"/>
  <c r="B17" i="2"/>
  <c r="AF17" i="2" s="1"/>
  <c r="B18" i="2"/>
  <c r="AF18" i="2" s="1"/>
  <c r="B19" i="2"/>
  <c r="B20" i="2"/>
  <c r="B21" i="2"/>
  <c r="B22" i="2"/>
  <c r="B23" i="2"/>
  <c r="AF23" i="2" s="1"/>
  <c r="B24" i="2"/>
  <c r="AF24" i="2" s="1"/>
  <c r="B25" i="2"/>
  <c r="AF25" i="2" s="1"/>
  <c r="B6" i="2"/>
  <c r="B5" i="2"/>
  <c r="AF5" i="2" s="1"/>
  <c r="N7" i="2"/>
  <c r="N8" i="2"/>
  <c r="N9" i="2"/>
  <c r="N10" i="2"/>
  <c r="N11" i="2"/>
  <c r="AR11" i="2" s="1"/>
  <c r="N12" i="2"/>
  <c r="AR12" i="2" s="1"/>
  <c r="N13" i="2"/>
  <c r="AR13" i="2" s="1"/>
  <c r="N14" i="2"/>
  <c r="AR14" i="2" s="1"/>
  <c r="N15" i="2"/>
  <c r="N16" i="2"/>
  <c r="N17" i="2"/>
  <c r="N18" i="2"/>
  <c r="N19" i="2"/>
  <c r="AR19" i="2" s="1"/>
  <c r="N20" i="2"/>
  <c r="AR20" i="2" s="1"/>
  <c r="N21" i="2"/>
  <c r="AR21" i="2" s="1"/>
  <c r="N22" i="2"/>
  <c r="AR22" i="2" s="1"/>
  <c r="N23" i="2"/>
  <c r="N24" i="2"/>
  <c r="N25" i="2"/>
  <c r="N6" i="2"/>
  <c r="AR6" i="2" s="1"/>
  <c r="S27" i="1"/>
  <c r="Q27" i="1" s="1"/>
  <c r="R27" i="1"/>
  <c r="R26" i="1"/>
  <c r="R25" i="1"/>
  <c r="S24" i="1"/>
  <c r="R24" i="1"/>
  <c r="Q24" i="1"/>
  <c r="R21" i="1"/>
  <c r="S20" i="1"/>
  <c r="Q20" i="1" s="1"/>
  <c r="R20" i="1"/>
  <c r="S15" i="1"/>
  <c r="Q15" i="1" s="1"/>
  <c r="R15" i="1"/>
  <c r="S14" i="1"/>
  <c r="Q14" i="1" s="1"/>
  <c r="R14" i="1"/>
  <c r="R13" i="1"/>
  <c r="S12" i="1"/>
  <c r="R12" i="1"/>
  <c r="Q12" i="1"/>
  <c r="S9" i="1"/>
  <c r="R9" i="1"/>
  <c r="Q9" i="1"/>
  <c r="M10" i="1"/>
  <c r="L10" i="1" s="1"/>
  <c r="S10" i="1" s="1"/>
  <c r="Q10" i="1" s="1"/>
  <c r="M11" i="1"/>
  <c r="L11" i="1" s="1"/>
  <c r="R11" i="1" s="1"/>
  <c r="M12" i="1"/>
  <c r="L12" i="1" s="1"/>
  <c r="M13" i="1"/>
  <c r="L13" i="1" s="1"/>
  <c r="S13" i="1" s="1"/>
  <c r="Q13" i="1" s="1"/>
  <c r="M14" i="1"/>
  <c r="L14" i="1" s="1"/>
  <c r="M15" i="1"/>
  <c r="L15" i="1" s="1"/>
  <c r="M16" i="1"/>
  <c r="L16" i="1" s="1"/>
  <c r="S16" i="1" s="1"/>
  <c r="Q16" i="1" s="1"/>
  <c r="M21" i="1"/>
  <c r="L21" i="1" s="1"/>
  <c r="S21" i="1" s="1"/>
  <c r="Q21" i="1" s="1"/>
  <c r="M22" i="1"/>
  <c r="L22" i="1" s="1"/>
  <c r="R22" i="1" s="1"/>
  <c r="L23" i="1"/>
  <c r="S23" i="1" s="1"/>
  <c r="Q23" i="1" s="1"/>
  <c r="M23" i="1"/>
  <c r="M24" i="1"/>
  <c r="L24" i="1" s="1"/>
  <c r="M25" i="1"/>
  <c r="L25" i="1" s="1"/>
  <c r="S25" i="1" s="1"/>
  <c r="Q25" i="1" s="1"/>
  <c r="L26" i="1"/>
  <c r="S26" i="1" s="1"/>
  <c r="Q26" i="1" s="1"/>
  <c r="L27" i="1"/>
  <c r="I9" i="1"/>
  <c r="G9" i="1" s="1"/>
  <c r="H9" i="1"/>
  <c r="I20" i="1"/>
  <c r="G20" i="1" s="1"/>
  <c r="I32" i="1"/>
  <c r="H32" i="1"/>
  <c r="BA6" i="4" l="1"/>
  <c r="R16" i="1"/>
  <c r="S22" i="1"/>
  <c r="Q22" i="1" s="1"/>
  <c r="BA5" i="4"/>
  <c r="BA9" i="4"/>
  <c r="BA13" i="4"/>
  <c r="BA14" i="4"/>
  <c r="R10" i="1"/>
  <c r="R23" i="1"/>
  <c r="S11" i="1"/>
  <c r="Q11" i="1" s="1"/>
  <c r="G32" i="1"/>
  <c r="C14" i="1"/>
  <c r="B14" i="1"/>
  <c r="C13" i="1"/>
  <c r="B13" i="1" s="1"/>
  <c r="B15" i="1"/>
  <c r="B16" i="1"/>
  <c r="C12" i="1"/>
  <c r="B12" i="1" s="1"/>
  <c r="B11" i="1"/>
  <c r="B10" i="1"/>
  <c r="C39" i="1"/>
  <c r="C38" i="1"/>
  <c r="C37" i="1"/>
  <c r="C36" i="1"/>
  <c r="C35" i="1"/>
  <c r="C34" i="1"/>
  <c r="B21" i="1"/>
  <c r="H21" i="1" s="1"/>
  <c r="H12" i="1" l="1"/>
  <c r="I12" i="1"/>
  <c r="G12" i="1" s="1"/>
  <c r="I16" i="1"/>
  <c r="G16" i="1" s="1"/>
  <c r="H16" i="1"/>
  <c r="I14" i="1"/>
  <c r="G14" i="1" s="1"/>
  <c r="H14" i="1"/>
  <c r="I21" i="1"/>
  <c r="G21" i="1" s="1"/>
  <c r="I11" i="1"/>
  <c r="G11" i="1" s="1"/>
  <c r="H11" i="1"/>
  <c r="H15" i="1"/>
  <c r="I15" i="1"/>
  <c r="G15" i="1" s="1"/>
  <c r="I13" i="1"/>
  <c r="G13" i="1" s="1"/>
  <c r="H13" i="1"/>
  <c r="I10" i="1"/>
  <c r="G10" i="1" s="1"/>
  <c r="H10" i="1"/>
  <c r="B39" i="1" l="1"/>
  <c r="B38" i="1"/>
  <c r="B37" i="1"/>
  <c r="B36" i="1"/>
  <c r="B35" i="1"/>
  <c r="B34" i="1"/>
  <c r="B33" i="1"/>
  <c r="B1" i="1"/>
  <c r="C5" i="1"/>
  <c r="B27" i="1"/>
  <c r="B26" i="1"/>
  <c r="B25" i="1"/>
  <c r="B24" i="1"/>
  <c r="B23" i="1"/>
  <c r="B22" i="1"/>
  <c r="I33" i="1" l="1"/>
  <c r="H33" i="1"/>
  <c r="I36" i="1"/>
  <c r="G36" i="1" s="1"/>
  <c r="H36" i="1"/>
  <c r="H22" i="1"/>
  <c r="I22" i="1"/>
  <c r="G22" i="1" s="1"/>
  <c r="H26" i="1"/>
  <c r="I26" i="1"/>
  <c r="G26" i="1" s="1"/>
  <c r="G33" i="1"/>
  <c r="I37" i="1"/>
  <c r="G37" i="1" s="1"/>
  <c r="H37" i="1"/>
  <c r="I25" i="1"/>
  <c r="G25" i="1" s="1"/>
  <c r="H25" i="1"/>
  <c r="H23" i="1"/>
  <c r="I23" i="1"/>
  <c r="G23" i="1" s="1"/>
  <c r="H27" i="1"/>
  <c r="I27" i="1"/>
  <c r="G27" i="1" s="1"/>
  <c r="H34" i="1"/>
  <c r="I34" i="1"/>
  <c r="G34" i="1" s="1"/>
  <c r="H38" i="1"/>
  <c r="I38" i="1"/>
  <c r="G38" i="1" s="1"/>
  <c r="H24" i="1"/>
  <c r="I24" i="1"/>
  <c r="G24" i="1" s="1"/>
  <c r="H35" i="1"/>
  <c r="I35" i="1"/>
  <c r="G35" i="1" s="1"/>
  <c r="H39" i="1"/>
  <c r="I39" i="1"/>
  <c r="G39" i="1" s="1"/>
</calcChain>
</file>

<file path=xl/sharedStrings.xml><?xml version="1.0" encoding="utf-8"?>
<sst xmlns="http://schemas.openxmlformats.org/spreadsheetml/2006/main" count="182" uniqueCount="70">
  <si>
    <t>pressure loss</t>
  </si>
  <si>
    <t>1 joint of 0 degrees</t>
  </si>
  <si>
    <t>hz</t>
  </si>
  <si>
    <t>flow rate m^3/h</t>
  </si>
  <si>
    <t>1 joint of 45 degrees</t>
  </si>
  <si>
    <t>1 joint of 90 degrees</t>
  </si>
  <si>
    <t>1 joint of 135 degrees</t>
  </si>
  <si>
    <t>time</t>
  </si>
  <si>
    <t>m^3</t>
  </si>
  <si>
    <t>Name:</t>
  </si>
  <si>
    <t>James Rosenfeldt</t>
  </si>
  <si>
    <t>Measuring devices:</t>
  </si>
  <si>
    <t>date:</t>
  </si>
  <si>
    <t>,</t>
  </si>
  <si>
    <t>1 joint of 165 degrees</t>
  </si>
  <si>
    <t>time[s]</t>
  </si>
  <si>
    <t>pressure loss [Pa]</t>
  </si>
  <si>
    <t>velocity[m/s]</t>
  </si>
  <si>
    <t>flow rate[m^3/s]</t>
  </si>
  <si>
    <t>inner diameter[m]</t>
  </si>
  <si>
    <t>flow rate[m^3/h]</t>
  </si>
  <si>
    <r>
      <t>The pressure loss through the joint is equal to the difference between the</t>
    </r>
    <r>
      <rPr>
        <b/>
        <sz val="11"/>
        <color theme="1"/>
        <rFont val="Calibri"/>
        <family val="2"/>
        <scheme val="minor"/>
      </rPr>
      <t xml:space="preserve"> Total pressure loss-pressure loss through aluminium pipe </t>
    </r>
  </si>
  <si>
    <t>Flow rate[m^3/h]</t>
  </si>
  <si>
    <t>Pressure loss extrapolation to 200 [m^3/h]</t>
  </si>
  <si>
    <t>Total pressure loss[Pa]</t>
  </si>
  <si>
    <t xml:space="preserve">Pipe 0 degrees </t>
  </si>
  <si>
    <t xml:space="preserve">Pipe 45 degrees </t>
  </si>
  <si>
    <t xml:space="preserve">Pipe  90 degrees </t>
  </si>
  <si>
    <t xml:space="preserve">Pipe 135 degrees </t>
  </si>
  <si>
    <t xml:space="preserve">Pipe 165 degrees </t>
  </si>
  <si>
    <t xml:space="preserve"> 0.00261842x2 + 0.05723342x
</t>
  </si>
  <si>
    <t xml:space="preserve">Total 135 degrees </t>
  </si>
  <si>
    <t xml:space="preserve">Total 90 degrees </t>
  </si>
  <si>
    <t xml:space="preserve">Total 45 degrees </t>
  </si>
  <si>
    <t xml:space="preserve">Total 0 degrees </t>
  </si>
  <si>
    <t xml:space="preserve">Total 165 degrees </t>
  </si>
  <si>
    <t xml:space="preserve">Joint 0 degrees </t>
  </si>
  <si>
    <t xml:space="preserve">Joint 45 degrees </t>
  </si>
  <si>
    <t xml:space="preserve">Joint  90 degrees </t>
  </si>
  <si>
    <t xml:space="preserve">Joint 135 degrees </t>
  </si>
  <si>
    <t xml:space="preserve">Joint 165 degrees </t>
  </si>
  <si>
    <t>Pressure loss in joint[Pa]</t>
  </si>
  <si>
    <t>Tryktab i drejeled alene</t>
  </si>
  <si>
    <t>aluminium pipe pressure loss per meter</t>
  </si>
  <si>
    <t>Antal af drejeled, 0 grader:</t>
  </si>
  <si>
    <t>Antal af drejeled, 45 grader:</t>
  </si>
  <si>
    <t>Antal af drejeled, 90 grader:</t>
  </si>
  <si>
    <t>Antal af drejeled, 135 grader:</t>
  </si>
  <si>
    <t>Antal af drejeled, 165 grader:</t>
  </si>
  <si>
    <t>antal m lige 55 mm alu kanal</t>
  </si>
  <si>
    <t>vælg  [0,1,2 eller 3]</t>
  </si>
  <si>
    <t>0 grader = ligeud</t>
  </si>
  <si>
    <t>trykvalgskema</t>
  </si>
  <si>
    <t>flow m3/h</t>
  </si>
  <si>
    <t>samlet tryktab [Pa]</t>
  </si>
  <si>
    <t>overskrift</t>
  </si>
  <si>
    <t>mathmatical pressure loss in pipe [Pa/m]</t>
  </si>
  <si>
    <t>mathmatical pressure loss in pipe[Pa/m]</t>
  </si>
  <si>
    <t>Pressure loss in pipe</t>
  </si>
  <si>
    <t>mathmatical velocity</t>
  </si>
  <si>
    <t>Samlet tryktab [Pa]</t>
  </si>
  <si>
    <t>Vælg  [0,1,2 eller 3] og kanal-længde i m</t>
  </si>
  <si>
    <t>Flow [m3/h]</t>
  </si>
  <si>
    <t>DATO:</t>
  </si>
  <si>
    <t>Permavent</t>
  </si>
  <si>
    <t>Overskriftsgenerator:</t>
  </si>
  <si>
    <t>Firmanavn:</t>
  </si>
  <si>
    <t>11/9 2015</t>
  </si>
  <si>
    <t>Antal m lige 55 mm alu kanal:</t>
  </si>
  <si>
    <t>Statisk undertryk for sugearm ø 57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</si>
</sst>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3" xfId="0" applyBorder="1"/>
    <xf numFmtId="0" fontId="1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/>
    <xf numFmtId="0" fontId="2" fillId="0" borderId="0" xfId="0" applyFont="1" applyBorder="1" applyAlignment="1">
      <alignment horizontal="right" vertical="center" wrapText="1" readingOrder="1"/>
    </xf>
    <xf numFmtId="0" fontId="2" fillId="0" borderId="6" xfId="0" applyFont="1" applyBorder="1" applyAlignment="1">
      <alignment horizontal="right" vertical="center" wrapText="1" readingOrder="1"/>
    </xf>
    <xf numFmtId="0" fontId="0" fillId="0" borderId="7" xfId="0" applyBorder="1"/>
    <xf numFmtId="0" fontId="2" fillId="0" borderId="8" xfId="0" applyFont="1" applyBorder="1" applyAlignment="1">
      <alignment horizontal="right" vertical="center" wrapText="1" readingOrder="1"/>
    </xf>
    <xf numFmtId="0" fontId="0" fillId="0" borderId="8" xfId="0" applyBorder="1"/>
    <xf numFmtId="0" fontId="2" fillId="0" borderId="9" xfId="0" applyFont="1" applyBorder="1" applyAlignment="1">
      <alignment horizontal="right" vertical="center" wrapText="1" readingOrder="1"/>
    </xf>
    <xf numFmtId="0" fontId="0" fillId="0" borderId="0" xfId="0" applyAlignment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/>
    <xf numFmtId="0" fontId="2" fillId="0" borderId="11" xfId="0" applyFont="1" applyBorder="1" applyAlignment="1">
      <alignment horizontal="right" vertical="center" wrapText="1" readingOrder="1"/>
    </xf>
    <xf numFmtId="0" fontId="0" fillId="0" borderId="13" xfId="0" applyBorder="1"/>
    <xf numFmtId="0" fontId="2" fillId="0" borderId="15" xfId="0" applyFont="1" applyBorder="1" applyAlignment="1">
      <alignment horizontal="right" vertical="center" wrapText="1" readingOrder="1"/>
    </xf>
    <xf numFmtId="0" fontId="2" fillId="0" borderId="11" xfId="0" applyFont="1" applyBorder="1" applyAlignment="1">
      <alignment horizontal="right" vertical="center" readingOrder="1"/>
    </xf>
    <xf numFmtId="0" fontId="2" fillId="0" borderId="15" xfId="0" applyFont="1" applyBorder="1" applyAlignment="1">
      <alignment horizontal="right" vertical="center" readingOrder="1"/>
    </xf>
    <xf numFmtId="0" fontId="0" fillId="0" borderId="0" xfId="0" applyBorder="1" applyAlignment="1">
      <alignment wrapText="1"/>
    </xf>
    <xf numFmtId="0" fontId="2" fillId="0" borderId="11" xfId="0" applyFont="1" applyBorder="1" applyAlignment="1">
      <alignment horizontal="center" vertical="center" readingOrder="1"/>
    </xf>
    <xf numFmtId="0" fontId="0" fillId="0" borderId="11" xfId="0" applyBorder="1"/>
    <xf numFmtId="0" fontId="0" fillId="0" borderId="15" xfId="0" applyBorder="1"/>
    <xf numFmtId="0" fontId="2" fillId="0" borderId="15" xfId="0" applyFont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/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14" fontId="0" fillId="0" borderId="0" xfId="0" applyNumberFormat="1" applyBorder="1"/>
    <xf numFmtId="0" fontId="4" fillId="0" borderId="0" xfId="0" applyFont="1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2" xfId="0" applyFont="1" applyBorder="1"/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C"/>
      <color rgb="FFD3D3D3"/>
      <color rgb="FFE0E0E0"/>
      <color rgb="FFD7D7D7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'Betjening og totaludskrift '!$E$30</c:f>
          <c:strCache>
            <c:ptCount val="1"/>
            <c:pt idx="0">
              <c:v>Permavent   11/9 2015,  3 stk  ligeud + 0 stk 45 grader  + 0 stk 90 grader  + 0 stk 135 grader  + 0 stk 165 grader  + 1 meter  57mm kanal</c:v>
            </c:pt>
          </c:strCache>
        </c:strRef>
      </c:tx>
      <c:layout>
        <c:manualLayout>
          <c:xMode val="edge"/>
          <c:yMode val="edge"/>
          <c:x val="0.13175795575535312"/>
          <c:y val="7.60471721856685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8689187800284753E-2"/>
          <c:y val="0.115513176444104"/>
          <c:w val="0.86321647589352013"/>
          <c:h val="0.7652309787807136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'Betjening og totaludskrift '!$H$4:$H$24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'Betjening og totaludskrift '!$I$4:$I$24</c:f>
              <c:numCache>
                <c:formatCode>0</c:formatCode>
                <c:ptCount val="21"/>
                <c:pt idx="0">
                  <c:v>0</c:v>
                </c:pt>
                <c:pt idx="1">
                  <c:v>5.2548593363860334</c:v>
                </c:pt>
                <c:pt idx="2">
                  <c:v>16.083214721544131</c:v>
                </c:pt>
                <c:pt idx="3">
                  <c:v>32.4850661554743</c:v>
                </c:pt>
                <c:pt idx="4">
                  <c:v>54.46041363817654</c:v>
                </c:pt>
                <c:pt idx="5">
                  <c:v>82.009257169650837</c:v>
                </c:pt>
                <c:pt idx="6">
                  <c:v>115.1315967498972</c:v>
                </c:pt>
                <c:pt idx="7">
                  <c:v>153.82743237891566</c:v>
                </c:pt>
                <c:pt idx="8">
                  <c:v>198.09676405670618</c:v>
                </c:pt>
                <c:pt idx="9">
                  <c:v>247.93959178326872</c:v>
                </c:pt>
                <c:pt idx="10">
                  <c:v>303.35591555860339</c:v>
                </c:pt>
                <c:pt idx="11">
                  <c:v>364.34573538271007</c:v>
                </c:pt>
                <c:pt idx="12">
                  <c:v>430.90905125558879</c:v>
                </c:pt>
                <c:pt idx="13">
                  <c:v>503.04586317723971</c:v>
                </c:pt>
                <c:pt idx="14">
                  <c:v>580.7561711476626</c:v>
                </c:pt>
                <c:pt idx="15">
                  <c:v>664.03997516685763</c:v>
                </c:pt>
                <c:pt idx="16">
                  <c:v>752.89727523482475</c:v>
                </c:pt>
                <c:pt idx="17">
                  <c:v>847.32807135156372</c:v>
                </c:pt>
                <c:pt idx="18">
                  <c:v>947.3323635170749</c:v>
                </c:pt>
                <c:pt idx="19">
                  <c:v>1052.9101517313582</c:v>
                </c:pt>
                <c:pt idx="20">
                  <c:v>1164.0614359944136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Permavent Suction pipe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86384"/>
        <c:axId val="447190696"/>
      </c:scatterChart>
      <c:valAx>
        <c:axId val="447186384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DCDCDC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Luftstrøm [m^3/h]</a:t>
                </a:r>
              </a:p>
            </c:rich>
          </c:tx>
          <c:layout>
            <c:manualLayout>
              <c:xMode val="edge"/>
              <c:yMode val="edge"/>
              <c:x val="0.44187237087338582"/>
              <c:y val="0.93954136478268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7190696"/>
        <c:crosses val="autoZero"/>
        <c:crossBetween val="midCat"/>
        <c:majorUnit val="10"/>
        <c:minorUnit val="5"/>
      </c:valAx>
      <c:valAx>
        <c:axId val="4471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DCDCDC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Estimeret  tryktab [Pa]</a:t>
                </a:r>
              </a:p>
            </c:rich>
          </c:tx>
          <c:layout>
            <c:manualLayout>
              <c:xMode val="edge"/>
              <c:yMode val="edge"/>
              <c:x val="1.8584419252449948E-2"/>
              <c:y val="0.3726985582281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7186384"/>
        <c:crosses val="autoZero"/>
        <c:crossBetween val="midCat"/>
        <c:majorUnit val="10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'Betjening og totaludskrift '!$E$30</c:f>
          <c:strCache>
            <c:ptCount val="1"/>
            <c:pt idx="0">
              <c:v>Permavent   11/9 2015,  3 stk  ligeud + 0 stk 45 grader  + 0 stk 90 grader  + 0 stk 135 grader  + 0 stk 165 grader  + 1 meter  57mm kanal</c:v>
            </c:pt>
          </c:strCache>
        </c:strRef>
      </c:tx>
      <c:layout>
        <c:manualLayout>
          <c:xMode val="edge"/>
          <c:yMode val="edge"/>
          <c:x val="0.13175795575535312"/>
          <c:y val="7.60471721856685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8689187800284753E-2"/>
          <c:y val="0.115513176444104"/>
          <c:w val="0.86321647589352013"/>
          <c:h val="0.7652309787807136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'Betjening og totaludskrift '!$H$4:$H$24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'Betjening og totaludskrift '!$I$4:$I$24</c:f>
              <c:numCache>
                <c:formatCode>0</c:formatCode>
                <c:ptCount val="21"/>
                <c:pt idx="0">
                  <c:v>0</c:v>
                </c:pt>
                <c:pt idx="1">
                  <c:v>5.2548593363860334</c:v>
                </c:pt>
                <c:pt idx="2">
                  <c:v>16.083214721544131</c:v>
                </c:pt>
                <c:pt idx="3">
                  <c:v>32.4850661554743</c:v>
                </c:pt>
                <c:pt idx="4">
                  <c:v>54.46041363817654</c:v>
                </c:pt>
                <c:pt idx="5">
                  <c:v>82.009257169650837</c:v>
                </c:pt>
                <c:pt idx="6">
                  <c:v>115.1315967498972</c:v>
                </c:pt>
                <c:pt idx="7">
                  <c:v>153.82743237891566</c:v>
                </c:pt>
                <c:pt idx="8">
                  <c:v>198.09676405670618</c:v>
                </c:pt>
                <c:pt idx="9">
                  <c:v>247.93959178326872</c:v>
                </c:pt>
                <c:pt idx="10">
                  <c:v>303.35591555860339</c:v>
                </c:pt>
                <c:pt idx="11">
                  <c:v>364.34573538271007</c:v>
                </c:pt>
                <c:pt idx="12">
                  <c:v>430.90905125558879</c:v>
                </c:pt>
                <c:pt idx="13">
                  <c:v>503.04586317723971</c:v>
                </c:pt>
                <c:pt idx="14">
                  <c:v>580.7561711476626</c:v>
                </c:pt>
                <c:pt idx="15">
                  <c:v>664.03997516685763</c:v>
                </c:pt>
                <c:pt idx="16">
                  <c:v>752.89727523482475</c:v>
                </c:pt>
                <c:pt idx="17">
                  <c:v>847.32807135156372</c:v>
                </c:pt>
                <c:pt idx="18">
                  <c:v>947.3323635170749</c:v>
                </c:pt>
                <c:pt idx="19">
                  <c:v>1052.9101517313582</c:v>
                </c:pt>
                <c:pt idx="20">
                  <c:v>1164.0614359944136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Permavent Suction pipe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88344"/>
        <c:axId val="449625096"/>
      </c:scatterChart>
      <c:valAx>
        <c:axId val="447188344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DCDCDC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Luftstrøm [m^3/h]</a:t>
                </a:r>
              </a:p>
            </c:rich>
          </c:tx>
          <c:layout>
            <c:manualLayout>
              <c:xMode val="edge"/>
              <c:yMode val="edge"/>
              <c:x val="0.44187237087338582"/>
              <c:y val="0.93954136478268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9625096"/>
        <c:crosses val="autoZero"/>
        <c:crossBetween val="midCat"/>
        <c:majorUnit val="10"/>
        <c:minorUnit val="5"/>
      </c:valAx>
      <c:valAx>
        <c:axId val="44962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DCDCDC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Estimeret  tryktab [Pa]</a:t>
                </a:r>
              </a:p>
            </c:rich>
          </c:tx>
          <c:layout>
            <c:manualLayout>
              <c:xMode val="edge"/>
              <c:yMode val="edge"/>
              <c:x val="1.8584419252449948E-2"/>
              <c:y val="0.3726985582281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7188344"/>
        <c:crosses val="autoZero"/>
        <c:crossBetween val="midCat"/>
        <c:majorUnit val="100"/>
        <c:min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Permavent Total</a:t>
            </a:r>
            <a:r>
              <a:rPr lang="en-US" baseline="0"/>
              <a:t> </a:t>
            </a:r>
            <a:r>
              <a:rPr lang="en-US"/>
              <a:t>Pressure</a:t>
            </a:r>
            <a:r>
              <a:rPr lang="en-US" baseline="0"/>
              <a:t> loss at different flow rates(1 joint +1 meter alumin)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615162481188627E-2"/>
          <c:y val="9.4912511053789311E-2"/>
          <c:w val="0.90159022335170158"/>
          <c:h val="0.65220982588444054"/>
        </c:manualLayout>
      </c:layout>
      <c:scatterChart>
        <c:scatterStyle val="smoothMarker"/>
        <c:varyColors val="0"/>
        <c:ser>
          <c:idx val="0"/>
          <c:order val="0"/>
          <c:tx>
            <c:v>0 degrees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70C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9719006638521685E-2"/>
                  <c:y val="0.19831932276071124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</c:trendlineLbl>
          </c:trendline>
          <c:xVal>
            <c:numRef>
              <c:f>Sheet1!$B$9:$B$16</c:f>
              <c:numCache>
                <c:formatCode>General</c:formatCode>
                <c:ptCount val="8"/>
                <c:pt idx="0">
                  <c:v>0</c:v>
                </c:pt>
                <c:pt idx="1">
                  <c:v>23.606557377049182</c:v>
                </c:pt>
                <c:pt idx="2">
                  <c:v>45.714285714285715</c:v>
                </c:pt>
                <c:pt idx="3">
                  <c:v>69.230769230769241</c:v>
                </c:pt>
                <c:pt idx="4">
                  <c:v>87.804878048780495</c:v>
                </c:pt>
                <c:pt idx="5">
                  <c:v>104.9006622516556</c:v>
                </c:pt>
                <c:pt idx="6">
                  <c:v>122.76633474287273</c:v>
                </c:pt>
                <c:pt idx="7">
                  <c:v>131.70731707317071</c:v>
                </c:pt>
              </c:numCache>
            </c:numRef>
          </c:xVal>
          <c:yVal>
            <c:numRef>
              <c:f>Sheet1!$E$9:$E$16</c:f>
              <c:numCache>
                <c:formatCode>General</c:formatCode>
                <c:ptCount val="8"/>
                <c:pt idx="0">
                  <c:v>0</c:v>
                </c:pt>
                <c:pt idx="1">
                  <c:v>12.5</c:v>
                </c:pt>
                <c:pt idx="2">
                  <c:v>41.2</c:v>
                </c:pt>
                <c:pt idx="3">
                  <c:v>91.1</c:v>
                </c:pt>
                <c:pt idx="4">
                  <c:v>144.30000000000001</c:v>
                </c:pt>
                <c:pt idx="5">
                  <c:v>211.8</c:v>
                </c:pt>
                <c:pt idx="6">
                  <c:v>279.5</c:v>
                </c:pt>
                <c:pt idx="7">
                  <c:v>322.5</c:v>
                </c:pt>
              </c:numCache>
            </c:numRef>
          </c:yVal>
          <c:smooth val="1"/>
        </c:ser>
        <c:ser>
          <c:idx val="3"/>
          <c:order val="1"/>
          <c:tx>
            <c:v>45 degrees</c:v>
          </c:tx>
          <c:spPr>
            <a:ln>
              <a:noFill/>
            </a:ln>
          </c:spPr>
          <c:marker>
            <c:symbol val="none"/>
          </c:marker>
          <c:trendline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6.4859605934861744E-2"/>
                  <c:y val="0.23460071716387565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</c:trendlineLbl>
          </c:trendline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2"/>
            <c:intercept val="0"/>
            <c:dispRSqr val="0"/>
            <c:dispEq val="0"/>
          </c:trendline>
          <c:xVal>
            <c:numRef>
              <c:f>Sheet1!$B$20:$B$27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46.285714285714285</c:v>
                </c:pt>
                <c:pt idx="3">
                  <c:v>67.289719626168221</c:v>
                </c:pt>
                <c:pt idx="4">
                  <c:v>86.197183098591552</c:v>
                </c:pt>
                <c:pt idx="5">
                  <c:v>104.34782608695652</c:v>
                </c:pt>
                <c:pt idx="6">
                  <c:v>122.03389830508475</c:v>
                </c:pt>
                <c:pt idx="7">
                  <c:v>130.90909090909091</c:v>
                </c:pt>
              </c:numCache>
            </c:numRef>
          </c:xVal>
          <c:yVal>
            <c:numRef>
              <c:f>Sheet1!$E$20:$E$27</c:f>
              <c:numCache>
                <c:formatCode>General</c:formatCode>
                <c:ptCount val="8"/>
                <c:pt idx="0">
                  <c:v>0</c:v>
                </c:pt>
                <c:pt idx="1">
                  <c:v>14.3</c:v>
                </c:pt>
                <c:pt idx="2">
                  <c:v>44.5</c:v>
                </c:pt>
                <c:pt idx="3">
                  <c:v>88.7</c:v>
                </c:pt>
                <c:pt idx="4">
                  <c:v>143</c:v>
                </c:pt>
                <c:pt idx="5">
                  <c:v>205</c:v>
                </c:pt>
                <c:pt idx="6">
                  <c:v>280</c:v>
                </c:pt>
                <c:pt idx="7">
                  <c:v>323</c:v>
                </c:pt>
              </c:numCache>
            </c:numRef>
          </c:yVal>
          <c:smooth val="1"/>
        </c:ser>
        <c:ser>
          <c:idx val="6"/>
          <c:order val="2"/>
          <c:tx>
            <c:v>90 degrees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7.5822755964885649E-2"/>
                  <c:y val="0.20509245499242174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</c:spPr>
            </c:trendlineLbl>
          </c:trendline>
          <c:xVal>
            <c:numRef>
              <c:f>Sheet1!$B$32:$B$39</c:f>
              <c:numCache>
                <c:formatCode>General</c:formatCode>
                <c:ptCount val="8"/>
                <c:pt idx="0">
                  <c:v>0</c:v>
                </c:pt>
                <c:pt idx="1">
                  <c:v>27.692307692307693</c:v>
                </c:pt>
                <c:pt idx="2">
                  <c:v>47.647058823529427</c:v>
                </c:pt>
                <c:pt idx="3">
                  <c:v>66.666666666666657</c:v>
                </c:pt>
                <c:pt idx="4">
                  <c:v>85.039370078740163</c:v>
                </c:pt>
                <c:pt idx="5">
                  <c:v>102.85714285714285</c:v>
                </c:pt>
                <c:pt idx="6">
                  <c:v>120</c:v>
                </c:pt>
                <c:pt idx="7">
                  <c:v>129.03225806451613</c:v>
                </c:pt>
              </c:numCache>
            </c:numRef>
          </c:xVal>
          <c:yVal>
            <c:numRef>
              <c:f>Sheet1!$E$32:$E$39</c:f>
              <c:numCache>
                <c:formatCode>General</c:formatCode>
                <c:ptCount val="8"/>
                <c:pt idx="0">
                  <c:v>0</c:v>
                </c:pt>
                <c:pt idx="1">
                  <c:v>18.100000000000001</c:v>
                </c:pt>
                <c:pt idx="2">
                  <c:v>52.6</c:v>
                </c:pt>
                <c:pt idx="3">
                  <c:v>99.5</c:v>
                </c:pt>
                <c:pt idx="4">
                  <c:v>158.30000000000001</c:v>
                </c:pt>
                <c:pt idx="5">
                  <c:v>234.8</c:v>
                </c:pt>
                <c:pt idx="6">
                  <c:v>322.89999999999998</c:v>
                </c:pt>
                <c:pt idx="7">
                  <c:v>366.2</c:v>
                </c:pt>
              </c:numCache>
            </c:numRef>
          </c:yVal>
          <c:smooth val="1"/>
        </c:ser>
        <c:ser>
          <c:idx val="9"/>
          <c:order val="3"/>
          <c:tx>
            <c:v>135 degrees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7030A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4.0599243263020418E-2"/>
                  <c:y val="0.28792813574359544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7030A0"/>
                  </a:solidFill>
                </a:ln>
              </c:spPr>
            </c:trendlineLbl>
          </c:trendline>
          <c:xVal>
            <c:numRef>
              <c:f>Sheet1!$L$9:$L$16</c:f>
              <c:numCache>
                <c:formatCode>General</c:formatCode>
                <c:ptCount val="8"/>
                <c:pt idx="0">
                  <c:v>0</c:v>
                </c:pt>
                <c:pt idx="1">
                  <c:v>29.387755102040845</c:v>
                </c:pt>
                <c:pt idx="2">
                  <c:v>47.710843373493958</c:v>
                </c:pt>
                <c:pt idx="3">
                  <c:v>65.954198473282403</c:v>
                </c:pt>
                <c:pt idx="4">
                  <c:v>83.478260869565219</c:v>
                </c:pt>
                <c:pt idx="5">
                  <c:v>100.4651162790698</c:v>
                </c:pt>
                <c:pt idx="6">
                  <c:v>117.15254237288138</c:v>
                </c:pt>
                <c:pt idx="7">
                  <c:v>134.67625899280574</c:v>
                </c:pt>
              </c:numCache>
            </c:numRef>
          </c:xVal>
          <c:yVal>
            <c:numRef>
              <c:f>Sheet1!$O$9:$O$16</c:f>
              <c:numCache>
                <c:formatCode>General</c:formatCode>
                <c:ptCount val="8"/>
                <c:pt idx="0">
                  <c:v>0</c:v>
                </c:pt>
                <c:pt idx="1">
                  <c:v>24.6</c:v>
                </c:pt>
                <c:pt idx="2">
                  <c:v>63.6</c:v>
                </c:pt>
                <c:pt idx="3">
                  <c:v>124.3</c:v>
                </c:pt>
                <c:pt idx="4">
                  <c:v>191.7</c:v>
                </c:pt>
                <c:pt idx="5">
                  <c:v>275.10000000000002</c:v>
                </c:pt>
                <c:pt idx="6">
                  <c:v>367.6</c:v>
                </c:pt>
                <c:pt idx="7">
                  <c:v>476.8</c:v>
                </c:pt>
              </c:numCache>
            </c:numRef>
          </c:yVal>
          <c:smooth val="1"/>
        </c:ser>
        <c:ser>
          <c:idx val="11"/>
          <c:order val="4"/>
          <c:tx>
            <c:v>165 degrees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FFC00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3467062692116749E-2"/>
                  <c:y val="0.26765827510997747"/>
                </c:manualLayout>
              </c:layout>
              <c:numFmt formatCode="#,##0.00000000" sourceLinked="0"/>
              <c:spPr>
                <a:ln>
                  <a:solidFill>
                    <a:srgbClr val="FFC000"/>
                  </a:solidFill>
                </a:ln>
              </c:spPr>
            </c:trendlineLbl>
          </c:trendline>
          <c:xVal>
            <c:numRef>
              <c:f>Sheet1!$L$20:$L$27</c:f>
              <c:numCache>
                <c:formatCode>General</c:formatCode>
                <c:ptCount val="8"/>
                <c:pt idx="0">
                  <c:v>0</c:v>
                </c:pt>
                <c:pt idx="1">
                  <c:v>29.690721649484562</c:v>
                </c:pt>
                <c:pt idx="2">
                  <c:v>48</c:v>
                </c:pt>
                <c:pt idx="3">
                  <c:v>65.853658536585385</c:v>
                </c:pt>
                <c:pt idx="4">
                  <c:v>83.07692307692308</c:v>
                </c:pt>
                <c:pt idx="5">
                  <c:v>100.13245033112581</c:v>
                </c:pt>
                <c:pt idx="6">
                  <c:v>116.88311688311687</c:v>
                </c:pt>
                <c:pt idx="7">
                  <c:v>132.67813267813267</c:v>
                </c:pt>
              </c:numCache>
            </c:numRef>
          </c:xVal>
          <c:yVal>
            <c:numRef>
              <c:f>Sheet1!$O$20:$O$27</c:f>
              <c:numCache>
                <c:formatCode>General</c:formatCode>
                <c:ptCount val="8"/>
                <c:pt idx="0">
                  <c:v>0</c:v>
                </c:pt>
                <c:pt idx="1">
                  <c:v>26.3</c:v>
                </c:pt>
                <c:pt idx="2">
                  <c:v>68.099999999999994</c:v>
                </c:pt>
                <c:pt idx="3">
                  <c:v>128.6</c:v>
                </c:pt>
                <c:pt idx="4">
                  <c:v>203</c:v>
                </c:pt>
                <c:pt idx="5">
                  <c:v>283.5</c:v>
                </c:pt>
                <c:pt idx="6">
                  <c:v>387.4</c:v>
                </c:pt>
                <c:pt idx="7">
                  <c:v>505.6</c:v>
                </c:pt>
              </c:numCache>
            </c:numRef>
          </c:yVal>
          <c:smooth val="1"/>
        </c:ser>
        <c:ser>
          <c:idx val="1"/>
          <c:order val="5"/>
          <c:tx>
            <c:v>0 degrees Pipe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/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7472078825766139E-2"/>
                  <c:y val="3.8379801116409748E-2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chemeClr val="tx1">
                      <a:shade val="95000"/>
                      <a:satMod val="105000"/>
                    </a:schemeClr>
                  </a:solidFill>
                </a:ln>
              </c:spPr>
            </c:trendlineLbl>
          </c:trendline>
          <c:xVal>
            <c:numRef>
              <c:f>Sheet1!$H$9:$H$16</c:f>
              <c:numCache>
                <c:formatCode>0.00000</c:formatCode>
                <c:ptCount val="8"/>
                <c:pt idx="0">
                  <c:v>0</c:v>
                </c:pt>
                <c:pt idx="1">
                  <c:v>23.606557377049182</c:v>
                </c:pt>
                <c:pt idx="2">
                  <c:v>45.714285714285715</c:v>
                </c:pt>
                <c:pt idx="3">
                  <c:v>69.230769230769241</c:v>
                </c:pt>
                <c:pt idx="4">
                  <c:v>87.804878048780495</c:v>
                </c:pt>
                <c:pt idx="5">
                  <c:v>104.9006622516556</c:v>
                </c:pt>
                <c:pt idx="6">
                  <c:v>122.76633474287273</c:v>
                </c:pt>
                <c:pt idx="7">
                  <c:v>131.70731707317071</c:v>
                </c:pt>
              </c:numCache>
            </c:numRef>
          </c:xVal>
          <c:yVal>
            <c:numRef>
              <c:f>Sheet1!$G$9:$G$16</c:f>
              <c:numCache>
                <c:formatCode>General</c:formatCode>
                <c:ptCount val="8"/>
                <c:pt idx="0">
                  <c:v>0</c:v>
                </c:pt>
                <c:pt idx="1">
                  <c:v>2.3913371368713259</c:v>
                </c:pt>
                <c:pt idx="2">
                  <c:v>7.857339428264571</c:v>
                </c:pt>
                <c:pt idx="3">
                  <c:v>16.58519218861969</c:v>
                </c:pt>
                <c:pt idx="4">
                  <c:v>25.439910841545654</c:v>
                </c:pt>
                <c:pt idx="5">
                  <c:v>35.041512191041946</c:v>
                </c:pt>
                <c:pt idx="6">
                  <c:v>46.507687700783571</c:v>
                </c:pt>
                <c:pt idx="7">
                  <c:v>52.781271872352754</c:v>
                </c:pt>
              </c:numCache>
            </c:numRef>
          </c:yVal>
          <c:smooth val="1"/>
        </c:ser>
        <c:ser>
          <c:idx val="2"/>
          <c:order val="6"/>
          <c:tx>
            <c:v>45 degrees pipe</c:v>
          </c:tx>
          <c:spPr>
            <a:ln w="28575">
              <a:noFill/>
            </a:ln>
          </c:spPr>
          <c:marker>
            <c:symbol val="none"/>
          </c:marker>
          <c:xVal>
            <c:numRef>
              <c:f>Sheet1!$H$20:$H$27</c:f>
              <c:numCache>
                <c:formatCode>0.00000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46.285714285714285</c:v>
                </c:pt>
                <c:pt idx="3">
                  <c:v>67.289719626168221</c:v>
                </c:pt>
                <c:pt idx="4">
                  <c:v>86.197183098591552</c:v>
                </c:pt>
                <c:pt idx="5">
                  <c:v>104.34782608695652</c:v>
                </c:pt>
                <c:pt idx="6">
                  <c:v>122.03389830508475</c:v>
                </c:pt>
                <c:pt idx="7">
                  <c:v>130.90909090909091</c:v>
                </c:pt>
              </c:numCache>
            </c:numRef>
          </c:xVal>
          <c:yVal>
            <c:numRef>
              <c:f>Sheet1!$G$20:$G$27</c:f>
              <c:numCache>
                <c:formatCode>General</c:formatCode>
                <c:ptCount val="8"/>
                <c:pt idx="0">
                  <c:v>0</c:v>
                </c:pt>
                <c:pt idx="1">
                  <c:v>2.4635549896343147</c:v>
                </c:pt>
                <c:pt idx="2">
                  <c:v>8.0350127822078878</c:v>
                </c:pt>
                <c:pt idx="3">
                  <c:v>15.757587209315949</c:v>
                </c:pt>
                <c:pt idx="4">
                  <c:v>24.607616949725386</c:v>
                </c:pt>
                <c:pt idx="5">
                  <c:v>34.70980356751798</c:v>
                </c:pt>
                <c:pt idx="6">
                  <c:v>46.009434802255207</c:v>
                </c:pt>
                <c:pt idx="7">
                  <c:v>52.206872612562293</c:v>
                </c:pt>
              </c:numCache>
            </c:numRef>
          </c:yVal>
          <c:smooth val="1"/>
        </c:ser>
        <c:ser>
          <c:idx val="4"/>
          <c:order val="7"/>
          <c:tx>
            <c:v>90 degrees pipe</c:v>
          </c:tx>
          <c:spPr>
            <a:ln w="28575">
              <a:noFill/>
            </a:ln>
          </c:spPr>
          <c:marker>
            <c:symbol val="none"/>
          </c:marker>
          <c:xVal>
            <c:numRef>
              <c:f>Sheet1!$H$32:$H$39</c:f>
              <c:numCache>
                <c:formatCode>0.00000</c:formatCode>
                <c:ptCount val="8"/>
                <c:pt idx="0">
                  <c:v>0</c:v>
                </c:pt>
                <c:pt idx="1">
                  <c:v>27.692307692307693</c:v>
                </c:pt>
                <c:pt idx="2">
                  <c:v>47.647058823529427</c:v>
                </c:pt>
                <c:pt idx="3">
                  <c:v>66.666666666666657</c:v>
                </c:pt>
                <c:pt idx="4">
                  <c:v>85.039370078740163</c:v>
                </c:pt>
                <c:pt idx="5">
                  <c:v>102.85714285714285</c:v>
                </c:pt>
                <c:pt idx="6">
                  <c:v>120</c:v>
                </c:pt>
                <c:pt idx="7">
                  <c:v>129.03225806451613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0</c:v>
                </c:pt>
                <c:pt idx="1">
                  <c:v>3.1873407328046519</c:v>
                </c:pt>
                <c:pt idx="2">
                  <c:v>8.4653905908079441</c:v>
                </c:pt>
                <c:pt idx="3">
                  <c:v>15.495934048496778</c:v>
                </c:pt>
                <c:pt idx="4">
                  <c:v>24.015856936233586</c:v>
                </c:pt>
                <c:pt idx="5">
                  <c:v>33.822370855828176</c:v>
                </c:pt>
                <c:pt idx="6">
                  <c:v>44.638363920966697</c:v>
                </c:pt>
                <c:pt idx="7">
                  <c:v>50.867332200613255</c:v>
                </c:pt>
              </c:numCache>
            </c:numRef>
          </c:yVal>
          <c:smooth val="1"/>
        </c:ser>
        <c:ser>
          <c:idx val="5"/>
          <c:order val="8"/>
          <c:tx>
            <c:v>135 degrees pipe</c:v>
          </c:tx>
          <c:spPr>
            <a:ln w="28575">
              <a:noFill/>
            </a:ln>
          </c:spPr>
          <c:marker>
            <c:symbol val="none"/>
          </c:marker>
          <c:xVal>
            <c:numRef>
              <c:f>Sheet1!$R$9:$R$16</c:f>
              <c:numCache>
                <c:formatCode>0.00000</c:formatCode>
                <c:ptCount val="8"/>
                <c:pt idx="0">
                  <c:v>0</c:v>
                </c:pt>
                <c:pt idx="1">
                  <c:v>29.387755102040845</c:v>
                </c:pt>
                <c:pt idx="2">
                  <c:v>47.710843373493958</c:v>
                </c:pt>
                <c:pt idx="3">
                  <c:v>65.954198473282403</c:v>
                </c:pt>
                <c:pt idx="4">
                  <c:v>83.478260869565219</c:v>
                </c:pt>
                <c:pt idx="5">
                  <c:v>100.4651162790698</c:v>
                </c:pt>
                <c:pt idx="6">
                  <c:v>117.15254237288138</c:v>
                </c:pt>
                <c:pt idx="7">
                  <c:v>134.67625899280574</c:v>
                </c:pt>
              </c:numCache>
            </c:numRef>
          </c:xVal>
          <c:yVal>
            <c:numRef>
              <c:f>Sheet1!$Q$9:$Q$16</c:f>
              <c:numCache>
                <c:formatCode>General</c:formatCode>
                <c:ptCount val="8"/>
                <c:pt idx="0">
                  <c:v>0</c:v>
                </c:pt>
                <c:pt idx="1">
                  <c:v>3.5471664437346702</c:v>
                </c:pt>
                <c:pt idx="2">
                  <c:v>8.4858000442860728</c:v>
                </c:pt>
                <c:pt idx="3">
                  <c:v>15.199119512303293</c:v>
                </c:pt>
                <c:pt idx="4">
                  <c:v>23.228123822637102</c:v>
                </c:pt>
                <c:pt idx="5">
                  <c:v>32.419741663896005</c:v>
                </c:pt>
                <c:pt idx="6">
                  <c:v>42.749901432964307</c:v>
                </c:pt>
                <c:pt idx="7">
                  <c:v>54.942182239932968</c:v>
                </c:pt>
              </c:numCache>
            </c:numRef>
          </c:yVal>
          <c:smooth val="1"/>
        </c:ser>
        <c:ser>
          <c:idx val="7"/>
          <c:order val="9"/>
          <c:tx>
            <c:v>165 degrees pipe</c:v>
          </c:tx>
          <c:spPr>
            <a:ln w="28575">
              <a:noFill/>
            </a:ln>
          </c:spPr>
          <c:marker>
            <c:symbol val="none"/>
          </c:marker>
          <c:xVal>
            <c:numRef>
              <c:f>Sheet1!$R$20:$R$27</c:f>
              <c:numCache>
                <c:formatCode>0.00000</c:formatCode>
                <c:ptCount val="8"/>
                <c:pt idx="0">
                  <c:v>0</c:v>
                </c:pt>
                <c:pt idx="1">
                  <c:v>29.690721649484562</c:v>
                </c:pt>
                <c:pt idx="2">
                  <c:v>48</c:v>
                </c:pt>
                <c:pt idx="3">
                  <c:v>65.853658536585385</c:v>
                </c:pt>
                <c:pt idx="4">
                  <c:v>83.07692307692308</c:v>
                </c:pt>
                <c:pt idx="5">
                  <c:v>100.13245033112581</c:v>
                </c:pt>
                <c:pt idx="6">
                  <c:v>116.88311688311687</c:v>
                </c:pt>
                <c:pt idx="7">
                  <c:v>132.67813267813267</c:v>
                </c:pt>
              </c:numCache>
            </c:numRef>
          </c:xVal>
          <c:yVal>
            <c:numRef>
              <c:f>Sheet1!$Q$20:$Q$27</c:f>
              <c:numCache>
                <c:formatCode>General</c:formatCode>
                <c:ptCount val="8"/>
                <c:pt idx="0">
                  <c:v>0</c:v>
                </c:pt>
                <c:pt idx="1">
                  <c:v>3.6132614029249099</c:v>
                </c:pt>
                <c:pt idx="2">
                  <c:v>8.5785967357485156</c:v>
                </c:pt>
                <c:pt idx="3">
                  <c:v>15.157440043605737</c:v>
                </c:pt>
                <c:pt idx="4">
                  <c:v>23.02749789942246</c:v>
                </c:pt>
                <c:pt idx="5">
                  <c:v>32.226767406225683</c:v>
                </c:pt>
                <c:pt idx="6">
                  <c:v>42.573096316993698</c:v>
                </c:pt>
                <c:pt idx="7">
                  <c:v>53.483627662385643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26272"/>
        <c:axId val="449623136"/>
      </c:scatterChart>
      <c:valAx>
        <c:axId val="449626272"/>
        <c:scaling>
          <c:orientation val="minMax"/>
          <c:max val="14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9623136"/>
        <c:crosses val="autoZero"/>
        <c:crossBetween val="midCat"/>
        <c:majorUnit val="10"/>
      </c:valAx>
      <c:valAx>
        <c:axId val="449623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9626272"/>
        <c:crossesAt val="0"/>
        <c:crossBetween val="midCat"/>
      </c:valAx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.16830895858965117"/>
          <c:y val="0.81205086688107653"/>
          <c:w val="0.66338199435897272"/>
          <c:h val="0.1766815274851207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Pressure</a:t>
            </a:r>
            <a:r>
              <a:rPr lang="en-US" baseline="0"/>
              <a:t> loss  vs flow rate through Ø0.055[m] aluminium pipe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680024230024593E-2"/>
          <c:y val="7.9006518368570131E-2"/>
          <c:w val="0.89996112263549488"/>
          <c:h val="0.66066768000101717"/>
        </c:manualLayout>
      </c:layout>
      <c:scatterChart>
        <c:scatterStyle val="smoothMarker"/>
        <c:varyColors val="0"/>
        <c:ser>
          <c:idx val="0"/>
          <c:order val="0"/>
          <c:tx>
            <c:v>0 degrees </c:v>
          </c:tx>
          <c:spPr>
            <a:ln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70C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5640592430794666E-2"/>
                  <c:y val="0.56041026587238052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0070C0"/>
                  </a:solidFill>
                </a:ln>
              </c:spPr>
            </c:trendlineLbl>
          </c:trendline>
          <c:xVal>
            <c:numRef>
              <c:f>Sheet1!$H$9:$H$16</c:f>
              <c:numCache>
                <c:formatCode>0.00000</c:formatCode>
                <c:ptCount val="8"/>
                <c:pt idx="0">
                  <c:v>0</c:v>
                </c:pt>
                <c:pt idx="1">
                  <c:v>23.606557377049182</c:v>
                </c:pt>
                <c:pt idx="2">
                  <c:v>45.714285714285715</c:v>
                </c:pt>
                <c:pt idx="3">
                  <c:v>69.230769230769241</c:v>
                </c:pt>
                <c:pt idx="4">
                  <c:v>87.804878048780495</c:v>
                </c:pt>
                <c:pt idx="5">
                  <c:v>104.9006622516556</c:v>
                </c:pt>
                <c:pt idx="6">
                  <c:v>122.76633474287273</c:v>
                </c:pt>
                <c:pt idx="7">
                  <c:v>131.70731707317071</c:v>
                </c:pt>
              </c:numCache>
            </c:numRef>
          </c:xVal>
          <c:yVal>
            <c:numRef>
              <c:f>Sheet1!$G$9:$G$16</c:f>
              <c:numCache>
                <c:formatCode>General</c:formatCode>
                <c:ptCount val="8"/>
                <c:pt idx="0">
                  <c:v>0</c:v>
                </c:pt>
                <c:pt idx="1">
                  <c:v>2.3913371368713259</c:v>
                </c:pt>
                <c:pt idx="2">
                  <c:v>7.857339428264571</c:v>
                </c:pt>
                <c:pt idx="3">
                  <c:v>16.58519218861969</c:v>
                </c:pt>
                <c:pt idx="4">
                  <c:v>25.439910841545654</c:v>
                </c:pt>
                <c:pt idx="5">
                  <c:v>35.041512191041946</c:v>
                </c:pt>
                <c:pt idx="6">
                  <c:v>46.507687700783571</c:v>
                </c:pt>
                <c:pt idx="7">
                  <c:v>52.781271872352754</c:v>
                </c:pt>
              </c:numCache>
            </c:numRef>
          </c:yVal>
          <c:smooth val="1"/>
        </c:ser>
        <c:ser>
          <c:idx val="1"/>
          <c:order val="1"/>
          <c:tx>
            <c:v>45 degrees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5.9354970418062744E-2"/>
                  <c:y val="0.51647939792504494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</c:trendlineLbl>
          </c:trendline>
          <c:xVal>
            <c:numRef>
              <c:f>Sheet1!$H$20:$H$27</c:f>
              <c:numCache>
                <c:formatCode>0.00000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46.285714285714285</c:v>
                </c:pt>
                <c:pt idx="3">
                  <c:v>67.289719626168221</c:v>
                </c:pt>
                <c:pt idx="4">
                  <c:v>86.197183098591552</c:v>
                </c:pt>
                <c:pt idx="5">
                  <c:v>104.34782608695652</c:v>
                </c:pt>
                <c:pt idx="6">
                  <c:v>122.03389830508475</c:v>
                </c:pt>
                <c:pt idx="7">
                  <c:v>130.90909090909091</c:v>
                </c:pt>
              </c:numCache>
            </c:numRef>
          </c:xVal>
          <c:yVal>
            <c:numRef>
              <c:f>Sheet1!$G$20:$G$27</c:f>
              <c:numCache>
                <c:formatCode>General</c:formatCode>
                <c:ptCount val="8"/>
                <c:pt idx="0">
                  <c:v>0</c:v>
                </c:pt>
                <c:pt idx="1">
                  <c:v>2.4635549896343147</c:v>
                </c:pt>
                <c:pt idx="2">
                  <c:v>8.0350127822078878</c:v>
                </c:pt>
                <c:pt idx="3">
                  <c:v>15.757587209315949</c:v>
                </c:pt>
                <c:pt idx="4">
                  <c:v>24.607616949725386</c:v>
                </c:pt>
                <c:pt idx="5">
                  <c:v>34.70980356751798</c:v>
                </c:pt>
                <c:pt idx="6">
                  <c:v>46.009434802255207</c:v>
                </c:pt>
                <c:pt idx="7">
                  <c:v>52.206872612562293</c:v>
                </c:pt>
              </c:numCache>
            </c:numRef>
          </c:yVal>
          <c:smooth val="1"/>
        </c:ser>
        <c:ser>
          <c:idx val="2"/>
          <c:order val="2"/>
          <c:tx>
            <c:v>90 degrees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B05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7.0003129153728458E-2"/>
                  <c:y val="0.46787394499164597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</c:spPr>
            </c:trendlineLbl>
          </c:trendline>
          <c:xVal>
            <c:numRef>
              <c:f>Sheet1!$H$32:$H$39</c:f>
              <c:numCache>
                <c:formatCode>0.00000</c:formatCode>
                <c:ptCount val="8"/>
                <c:pt idx="0">
                  <c:v>0</c:v>
                </c:pt>
                <c:pt idx="1">
                  <c:v>27.692307692307693</c:v>
                </c:pt>
                <c:pt idx="2">
                  <c:v>47.647058823529427</c:v>
                </c:pt>
                <c:pt idx="3">
                  <c:v>66.666666666666657</c:v>
                </c:pt>
                <c:pt idx="4">
                  <c:v>85.039370078740163</c:v>
                </c:pt>
                <c:pt idx="5">
                  <c:v>102.85714285714285</c:v>
                </c:pt>
                <c:pt idx="6">
                  <c:v>120</c:v>
                </c:pt>
                <c:pt idx="7">
                  <c:v>129.03225806451613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0</c:v>
                </c:pt>
                <c:pt idx="1">
                  <c:v>3.1873407328046519</c:v>
                </c:pt>
                <c:pt idx="2">
                  <c:v>8.4653905908079441</c:v>
                </c:pt>
                <c:pt idx="3">
                  <c:v>15.495934048496778</c:v>
                </c:pt>
                <c:pt idx="4">
                  <c:v>24.015856936233586</c:v>
                </c:pt>
                <c:pt idx="5">
                  <c:v>33.822370855828176</c:v>
                </c:pt>
                <c:pt idx="6">
                  <c:v>44.638363920966697</c:v>
                </c:pt>
                <c:pt idx="7">
                  <c:v>50.867332200613255</c:v>
                </c:pt>
              </c:numCache>
            </c:numRef>
          </c:yVal>
          <c:smooth val="1"/>
        </c:ser>
        <c:ser>
          <c:idx val="3"/>
          <c:order val="3"/>
          <c:tx>
            <c:v>135 degrees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7030A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3.5138555691964099E-2"/>
                  <c:y val="0.47950466963215549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7030A0"/>
                  </a:solidFill>
                </a:ln>
              </c:spPr>
            </c:trendlineLbl>
          </c:trendline>
          <c:xVal>
            <c:numRef>
              <c:f>Sheet1!$R$9:$R$16</c:f>
              <c:numCache>
                <c:formatCode>0.00000</c:formatCode>
                <c:ptCount val="8"/>
                <c:pt idx="0">
                  <c:v>0</c:v>
                </c:pt>
                <c:pt idx="1">
                  <c:v>29.387755102040845</c:v>
                </c:pt>
                <c:pt idx="2">
                  <c:v>47.710843373493958</c:v>
                </c:pt>
                <c:pt idx="3">
                  <c:v>65.954198473282403</c:v>
                </c:pt>
                <c:pt idx="4">
                  <c:v>83.478260869565219</c:v>
                </c:pt>
                <c:pt idx="5">
                  <c:v>100.4651162790698</c:v>
                </c:pt>
                <c:pt idx="6">
                  <c:v>117.15254237288138</c:v>
                </c:pt>
                <c:pt idx="7">
                  <c:v>134.67625899280574</c:v>
                </c:pt>
              </c:numCache>
            </c:numRef>
          </c:xVal>
          <c:yVal>
            <c:numRef>
              <c:f>Sheet1!$Q$9:$Q$16</c:f>
              <c:numCache>
                <c:formatCode>General</c:formatCode>
                <c:ptCount val="8"/>
                <c:pt idx="0">
                  <c:v>0</c:v>
                </c:pt>
                <c:pt idx="1">
                  <c:v>3.5471664437346702</c:v>
                </c:pt>
                <c:pt idx="2">
                  <c:v>8.4858000442860728</c:v>
                </c:pt>
                <c:pt idx="3">
                  <c:v>15.199119512303293</c:v>
                </c:pt>
                <c:pt idx="4">
                  <c:v>23.228123822637102</c:v>
                </c:pt>
                <c:pt idx="5">
                  <c:v>32.419741663896005</c:v>
                </c:pt>
                <c:pt idx="6">
                  <c:v>42.749901432964307</c:v>
                </c:pt>
                <c:pt idx="7">
                  <c:v>54.942182239932968</c:v>
                </c:pt>
              </c:numCache>
            </c:numRef>
          </c:yVal>
          <c:smooth val="1"/>
        </c:ser>
        <c:ser>
          <c:idx val="4"/>
          <c:order val="4"/>
          <c:tx>
            <c:v>165 degrees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FFC000"/>
                </a:solidFill>
              </a:ln>
            </c:spPr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4.7983146076816544E-2"/>
                  <c:y val="0.42575832641045896"/>
                </c:manualLayout>
              </c:layout>
              <c:numFmt formatCode="#,##0.00000000" sourceLinked="0"/>
              <c:spPr>
                <a:solidFill>
                  <a:schemeClr val="bg1"/>
                </a:solidFill>
                <a:ln>
                  <a:solidFill>
                    <a:srgbClr val="FFC000"/>
                  </a:solidFill>
                </a:ln>
              </c:spPr>
            </c:trendlineLbl>
          </c:trendline>
          <c:xVal>
            <c:numRef>
              <c:f>Sheet1!$R$20:$R$27</c:f>
              <c:numCache>
                <c:formatCode>0.00000</c:formatCode>
                <c:ptCount val="8"/>
                <c:pt idx="0">
                  <c:v>0</c:v>
                </c:pt>
                <c:pt idx="1">
                  <c:v>29.690721649484562</c:v>
                </c:pt>
                <c:pt idx="2">
                  <c:v>48</c:v>
                </c:pt>
                <c:pt idx="3">
                  <c:v>65.853658536585385</c:v>
                </c:pt>
                <c:pt idx="4">
                  <c:v>83.07692307692308</c:v>
                </c:pt>
                <c:pt idx="5">
                  <c:v>100.13245033112581</c:v>
                </c:pt>
                <c:pt idx="6">
                  <c:v>116.88311688311687</c:v>
                </c:pt>
                <c:pt idx="7">
                  <c:v>132.67813267813267</c:v>
                </c:pt>
              </c:numCache>
            </c:numRef>
          </c:xVal>
          <c:yVal>
            <c:numRef>
              <c:f>Sheet1!$Q$20:$Q$27</c:f>
              <c:numCache>
                <c:formatCode>General</c:formatCode>
                <c:ptCount val="8"/>
                <c:pt idx="0">
                  <c:v>0</c:v>
                </c:pt>
                <c:pt idx="1">
                  <c:v>3.6132614029249099</c:v>
                </c:pt>
                <c:pt idx="2">
                  <c:v>8.5785967357485156</c:v>
                </c:pt>
                <c:pt idx="3">
                  <c:v>15.157440043605737</c:v>
                </c:pt>
                <c:pt idx="4">
                  <c:v>23.02749789942246</c:v>
                </c:pt>
                <c:pt idx="5">
                  <c:v>32.226767406225683</c:v>
                </c:pt>
                <c:pt idx="6">
                  <c:v>42.573096316993698</c:v>
                </c:pt>
                <c:pt idx="7">
                  <c:v>53.483627662385643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20392"/>
        <c:axId val="449624704"/>
      </c:scatterChart>
      <c:valAx>
        <c:axId val="449620392"/>
        <c:scaling>
          <c:orientation val="minMax"/>
          <c:max val="14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flow rate[m^3/h]</a:t>
                </a:r>
                <a:endParaRPr lang="en-US" sz="14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449624704"/>
        <c:crosses val="autoZero"/>
        <c:crossBetween val="midCat"/>
        <c:majorUnit val="10"/>
      </c:valAx>
      <c:valAx>
        <c:axId val="449624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962039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9547259982474506E-2"/>
          <c:y val="0.81774544491129186"/>
          <c:w val="0.94743836097047274"/>
          <c:h val="0.1125825228950407"/>
        </c:manualLayout>
      </c:layout>
      <c:overlay val="0"/>
      <c:spPr>
        <a:ln>
          <a:noFill/>
        </a:ln>
      </c:spPr>
      <c:txPr>
        <a:bodyPr/>
        <a:lstStyle/>
        <a:p>
          <a:pPr>
            <a:defRPr sz="12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showing pressure losses vs flow rates at different angles</a:t>
            </a:r>
            <a:endParaRPr lang="en-US"/>
          </a:p>
        </c:rich>
      </c:tx>
      <c:layout>
        <c:manualLayout>
          <c:xMode val="edge"/>
          <c:yMode val="edge"/>
          <c:x val="0.24552951233861675"/>
          <c:y val="3.4139404089981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89925543928675E-2"/>
          <c:y val="0.10838911340101985"/>
          <c:w val="0.91931644042735416"/>
          <c:h val="0.689158709654179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'Sheet2 (2)'!$A$3</c:f>
              <c:strCache>
                <c:ptCount val="1"/>
                <c:pt idx="0">
                  <c:v>Total 0 degrees 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'Sheet2 (2)'!$A$5:$A$25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(2)'!$B$5:$B$25</c:f>
              <c:numCache>
                <c:formatCode>General</c:formatCode>
                <c:ptCount val="21"/>
                <c:pt idx="0">
                  <c:v>0</c:v>
                </c:pt>
                <c:pt idx="1">
                  <c:v>2.9735090999999998</c:v>
                </c:pt>
                <c:pt idx="2">
                  <c:v>9.5185681999999989</c:v>
                </c:pt>
                <c:pt idx="3">
                  <c:v>19.635177299999999</c:v>
                </c:pt>
                <c:pt idx="4">
                  <c:v>33.323336399999995</c:v>
                </c:pt>
                <c:pt idx="5">
                  <c:v>50.583045499999997</c:v>
                </c:pt>
                <c:pt idx="6">
                  <c:v>71.414304599999994</c:v>
                </c:pt>
                <c:pt idx="7">
                  <c:v>95.817113699999993</c:v>
                </c:pt>
                <c:pt idx="8">
                  <c:v>123.79147279999999</c:v>
                </c:pt>
                <c:pt idx="9">
                  <c:v>155.3373819</c:v>
                </c:pt>
                <c:pt idx="10">
                  <c:v>190.45484099999999</c:v>
                </c:pt>
                <c:pt idx="11">
                  <c:v>229.14385009999998</c:v>
                </c:pt>
                <c:pt idx="12">
                  <c:v>271.40440919999998</c:v>
                </c:pt>
                <c:pt idx="13">
                  <c:v>317.2365183</c:v>
                </c:pt>
                <c:pt idx="14">
                  <c:v>366.64017739999997</c:v>
                </c:pt>
                <c:pt idx="15">
                  <c:v>419.61538649999994</c:v>
                </c:pt>
                <c:pt idx="16">
                  <c:v>476.16214559999997</c:v>
                </c:pt>
                <c:pt idx="17">
                  <c:v>536.28045469999995</c:v>
                </c:pt>
                <c:pt idx="18">
                  <c:v>599.97031379999999</c:v>
                </c:pt>
                <c:pt idx="19">
                  <c:v>667.23172289999991</c:v>
                </c:pt>
                <c:pt idx="20">
                  <c:v>738.06468199999995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'Sheet2 (2)'!$D$3</c:f>
              <c:strCache>
                <c:ptCount val="1"/>
                <c:pt idx="0">
                  <c:v>Total 45 degrees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'Sheet2 (2)'!$D$5:$D$25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(2)'!$E$5:$E$25</c:f>
              <c:numCache>
                <c:formatCode>General</c:formatCode>
                <c:ptCount val="21"/>
                <c:pt idx="0">
                  <c:v>0</c:v>
                </c:pt>
                <c:pt idx="1">
                  <c:v>2.6858208000000001</c:v>
                </c:pt>
                <c:pt idx="2">
                  <c:v>8.9596836</c:v>
                </c:pt>
                <c:pt idx="3">
                  <c:v>18.8215884</c:v>
                </c:pt>
                <c:pt idx="4">
                  <c:v>32.271535200000002</c:v>
                </c:pt>
                <c:pt idx="5">
                  <c:v>49.309524000000003</c:v>
                </c:pt>
                <c:pt idx="6">
                  <c:v>69.935554800000006</c:v>
                </c:pt>
                <c:pt idx="7">
                  <c:v>94.149627600000002</c:v>
                </c:pt>
                <c:pt idx="8">
                  <c:v>121.9517424</c:v>
                </c:pt>
                <c:pt idx="9">
                  <c:v>153.34189920000003</c:v>
                </c:pt>
                <c:pt idx="10">
                  <c:v>188.32009800000003</c:v>
                </c:pt>
                <c:pt idx="11">
                  <c:v>226.88633880000003</c:v>
                </c:pt>
                <c:pt idx="12">
                  <c:v>269.04062160000001</c:v>
                </c:pt>
                <c:pt idx="13">
                  <c:v>314.78294640000001</c:v>
                </c:pt>
                <c:pt idx="14">
                  <c:v>364.11331320000005</c:v>
                </c:pt>
                <c:pt idx="15">
                  <c:v>417.03172200000006</c:v>
                </c:pt>
                <c:pt idx="16">
                  <c:v>473.53817280000004</c:v>
                </c:pt>
                <c:pt idx="17">
                  <c:v>533.6326656</c:v>
                </c:pt>
                <c:pt idx="18">
                  <c:v>597.31520040000009</c:v>
                </c:pt>
                <c:pt idx="19">
                  <c:v>664.58577720000005</c:v>
                </c:pt>
                <c:pt idx="20">
                  <c:v>735.4443960000001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'Sheet2 (2)'!$G$3</c:f>
              <c:strCache>
                <c:ptCount val="1"/>
                <c:pt idx="0">
                  <c:v>Total 90 degrees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'Sheet2 (2)'!$G$5:$G$25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(2)'!$H$5:$H$25</c:f>
              <c:numCache>
                <c:formatCode>General</c:formatCode>
                <c:ptCount val="21"/>
                <c:pt idx="0">
                  <c:v>0</c:v>
                </c:pt>
                <c:pt idx="1">
                  <c:v>2.5284513</c:v>
                </c:pt>
                <c:pt idx="2">
                  <c:v>9.430760600000001</c:v>
                </c:pt>
                <c:pt idx="3">
                  <c:v>20.7069279</c:v>
                </c:pt>
                <c:pt idx="4">
                  <c:v>36.3569532</c:v>
                </c:pt>
                <c:pt idx="5">
                  <c:v>56.380836500000001</c:v>
                </c:pt>
                <c:pt idx="6">
                  <c:v>80.778577799999994</c:v>
                </c:pt>
                <c:pt idx="7">
                  <c:v>109.5501771</c:v>
                </c:pt>
                <c:pt idx="8">
                  <c:v>142.69563440000002</c:v>
                </c:pt>
                <c:pt idx="9">
                  <c:v>180.21494969999998</c:v>
                </c:pt>
                <c:pt idx="10">
                  <c:v>222.10812300000001</c:v>
                </c:pt>
                <c:pt idx="11">
                  <c:v>268.37515429999996</c:v>
                </c:pt>
                <c:pt idx="12">
                  <c:v>319.01604359999999</c:v>
                </c:pt>
                <c:pt idx="13">
                  <c:v>374.0307909</c:v>
                </c:pt>
                <c:pt idx="14">
                  <c:v>433.41939619999999</c:v>
                </c:pt>
                <c:pt idx="15">
                  <c:v>497.18185949999997</c:v>
                </c:pt>
                <c:pt idx="16">
                  <c:v>565.31818080000005</c:v>
                </c:pt>
                <c:pt idx="17">
                  <c:v>637.82836009999994</c:v>
                </c:pt>
                <c:pt idx="18">
                  <c:v>714.71239739999999</c:v>
                </c:pt>
                <c:pt idx="19">
                  <c:v>795.97029269999996</c:v>
                </c:pt>
                <c:pt idx="20">
                  <c:v>881.60204600000009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'Sheet2 (2)'!$J$3</c:f>
              <c:strCache>
                <c:ptCount val="1"/>
                <c:pt idx="0">
                  <c:v>Total 135 degrees </c:v>
                </c:pt>
              </c:strCache>
            </c:strRef>
          </c:tx>
          <c:spPr>
            <a:ln w="19050" cmpd="sng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'Sheet2 (2)'!$J$5:$J$25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(2)'!$K$5:$K$25</c:f>
              <c:numCache>
                <c:formatCode>General</c:formatCode>
                <c:ptCount val="21"/>
                <c:pt idx="0">
                  <c:v>0</c:v>
                </c:pt>
                <c:pt idx="1">
                  <c:v>4.6576000999999998</c:v>
                </c:pt>
                <c:pt idx="2">
                  <c:v>14.279670200000002</c:v>
                </c:pt>
                <c:pt idx="3">
                  <c:v>28.866210299999999</c:v>
                </c:pt>
                <c:pt idx="4">
                  <c:v>48.417220400000005</c:v>
                </c:pt>
                <c:pt idx="5">
                  <c:v>72.932700499999996</c:v>
                </c:pt>
                <c:pt idx="6">
                  <c:v>102.41265060000001</c:v>
                </c:pt>
                <c:pt idx="7">
                  <c:v>136.85707070000001</c:v>
                </c:pt>
                <c:pt idx="8">
                  <c:v>176.26596080000002</c:v>
                </c:pt>
                <c:pt idx="9">
                  <c:v>220.6393209</c:v>
                </c:pt>
                <c:pt idx="10">
                  <c:v>269.97715099999999</c:v>
                </c:pt>
                <c:pt idx="11">
                  <c:v>324.27945110000002</c:v>
                </c:pt>
                <c:pt idx="12">
                  <c:v>383.54622119999999</c:v>
                </c:pt>
                <c:pt idx="13">
                  <c:v>447.77746130000003</c:v>
                </c:pt>
                <c:pt idx="14">
                  <c:v>516.97317139999996</c:v>
                </c:pt>
                <c:pt idx="15">
                  <c:v>591.1333515</c:v>
                </c:pt>
                <c:pt idx="16">
                  <c:v>670.25800160000006</c:v>
                </c:pt>
                <c:pt idx="17">
                  <c:v>754.3471217</c:v>
                </c:pt>
                <c:pt idx="18">
                  <c:v>843.40071179999995</c:v>
                </c:pt>
                <c:pt idx="19">
                  <c:v>937.41877189999991</c:v>
                </c:pt>
                <c:pt idx="20">
                  <c:v>1036.401302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'Sheet2 (2)'!$M$3</c:f>
              <c:strCache>
                <c:ptCount val="1"/>
                <c:pt idx="0">
                  <c:v>Total 165 degrees 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'Sheet2 (2)'!$M$5:$M$25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(2)'!$N$5:$N$25</c:f>
              <c:numCache>
                <c:formatCode>General</c:formatCode>
                <c:ptCount val="21"/>
                <c:pt idx="0">
                  <c:v>0</c:v>
                </c:pt>
                <c:pt idx="1">
                  <c:v>3.6139861000000004</c:v>
                </c:pt>
                <c:pt idx="2">
                  <c:v>12.809310200000001</c:v>
                </c:pt>
                <c:pt idx="3">
                  <c:v>27.585972300000002</c:v>
                </c:pt>
                <c:pt idx="4">
                  <c:v>47.943972400000007</c:v>
                </c:pt>
                <c:pt idx="5">
                  <c:v>73.883310500000007</c:v>
                </c:pt>
                <c:pt idx="6">
                  <c:v>105.4039866</c:v>
                </c:pt>
                <c:pt idx="7">
                  <c:v>142.50600070000002</c:v>
                </c:pt>
                <c:pt idx="8">
                  <c:v>185.18935280000002</c:v>
                </c:pt>
                <c:pt idx="9">
                  <c:v>233.45404290000002</c:v>
                </c:pt>
                <c:pt idx="10">
                  <c:v>287.30007100000006</c:v>
                </c:pt>
                <c:pt idx="11">
                  <c:v>346.72743710000003</c:v>
                </c:pt>
                <c:pt idx="12">
                  <c:v>411.73614120000002</c:v>
                </c:pt>
                <c:pt idx="13">
                  <c:v>482.32618330000003</c:v>
                </c:pt>
                <c:pt idx="14">
                  <c:v>558.49756339999999</c:v>
                </c:pt>
                <c:pt idx="15">
                  <c:v>640.25028150000003</c:v>
                </c:pt>
                <c:pt idx="16">
                  <c:v>727.58433760000003</c:v>
                </c:pt>
                <c:pt idx="17">
                  <c:v>820.4997317000001</c:v>
                </c:pt>
                <c:pt idx="18">
                  <c:v>918.99646380000001</c:v>
                </c:pt>
                <c:pt idx="19">
                  <c:v>1023.0745339</c:v>
                </c:pt>
                <c:pt idx="20">
                  <c:v>1132.7339420000001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'Sheet2 (2)'!$P$3</c:f>
              <c:strCache>
                <c:ptCount val="1"/>
                <c:pt idx="0">
                  <c:v>Pipe 0 degrees 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lgDashDotDot"/>
            </a:ln>
          </c:spPr>
          <c:marker>
            <c:symbol val="none"/>
          </c:marker>
          <c:xVal>
            <c:numRef>
              <c:f>'Sheet2 (2)'!$P$5:$P$25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(2)'!$Q$5:$Q$25</c:f>
              <c:numCache>
                <c:formatCode>General</c:formatCode>
                <c:ptCount val="21"/>
                <c:pt idx="0">
                  <c:v>0</c:v>
                </c:pt>
                <c:pt idx="1">
                  <c:v>0.82729419999999998</c:v>
                </c:pt>
                <c:pt idx="2">
                  <c:v>2.1798903999999997</c:v>
                </c:pt>
                <c:pt idx="3">
                  <c:v>4.0577885999999994</c:v>
                </c:pt>
                <c:pt idx="4">
                  <c:v>6.4609887999999991</c:v>
                </c:pt>
                <c:pt idx="5">
                  <c:v>9.3894909999999996</c:v>
                </c:pt>
                <c:pt idx="6">
                  <c:v>12.843295199999998</c:v>
                </c:pt>
                <c:pt idx="7">
                  <c:v>16.8224014</c:v>
                </c:pt>
                <c:pt idx="8">
                  <c:v>21.326809599999997</c:v>
                </c:pt>
                <c:pt idx="9">
                  <c:v>26.356519800000001</c:v>
                </c:pt>
                <c:pt idx="10">
                  <c:v>31.911532000000001</c:v>
                </c:pt>
                <c:pt idx="11">
                  <c:v>37.991846199999998</c:v>
                </c:pt>
                <c:pt idx="12">
                  <c:v>44.597462399999998</c:v>
                </c:pt>
                <c:pt idx="13">
                  <c:v>51.728380600000001</c:v>
                </c:pt>
                <c:pt idx="14">
                  <c:v>59.384600800000001</c:v>
                </c:pt>
                <c:pt idx="15">
                  <c:v>67.566123000000005</c:v>
                </c:pt>
                <c:pt idx="16">
                  <c:v>76.27294719999999</c:v>
                </c:pt>
                <c:pt idx="17">
                  <c:v>85.505073400000001</c:v>
                </c:pt>
                <c:pt idx="18">
                  <c:v>95.262501599999993</c:v>
                </c:pt>
                <c:pt idx="19">
                  <c:v>105.5452318</c:v>
                </c:pt>
                <c:pt idx="20">
                  <c:v>116.353264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'Sheet2 (2)'!$S$3</c:f>
              <c:strCache>
                <c:ptCount val="1"/>
                <c:pt idx="0">
                  <c:v>Pipe 45 degrees 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'Sheet2 (2)'!$S$5:$S$25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(2)'!$T$5:$T$25</c:f>
              <c:numCache>
                <c:formatCode>General</c:formatCode>
                <c:ptCount val="21"/>
                <c:pt idx="0">
                  <c:v>0</c:v>
                </c:pt>
                <c:pt idx="1">
                  <c:v>0.82398529999999992</c:v>
                </c:pt>
                <c:pt idx="2">
                  <c:v>2.1740285999999998</c:v>
                </c:pt>
                <c:pt idx="3">
                  <c:v>4.0501298999999999</c:v>
                </c:pt>
                <c:pt idx="4">
                  <c:v>6.4522892000000001</c:v>
                </c:pt>
                <c:pt idx="5">
                  <c:v>9.3805064999999992</c:v>
                </c:pt>
                <c:pt idx="6">
                  <c:v>12.8347818</c:v>
                </c:pt>
                <c:pt idx="7">
                  <c:v>16.8151151</c:v>
                </c:pt>
                <c:pt idx="8">
                  <c:v>21.321506400000001</c:v>
                </c:pt>
                <c:pt idx="9">
                  <c:v>26.3539557</c:v>
                </c:pt>
                <c:pt idx="10">
                  <c:v>31.912463000000002</c:v>
                </c:pt>
                <c:pt idx="11">
                  <c:v>37.997028299999997</c:v>
                </c:pt>
                <c:pt idx="12">
                  <c:v>44.607651600000004</c:v>
                </c:pt>
                <c:pt idx="13">
                  <c:v>51.744332900000003</c:v>
                </c:pt>
                <c:pt idx="14">
                  <c:v>59.407072199999995</c:v>
                </c:pt>
                <c:pt idx="15">
                  <c:v>67.595869500000006</c:v>
                </c:pt>
                <c:pt idx="16">
                  <c:v>76.310724800000003</c:v>
                </c:pt>
                <c:pt idx="17">
                  <c:v>85.551638100000005</c:v>
                </c:pt>
                <c:pt idx="18">
                  <c:v>95.3186094</c:v>
                </c:pt>
                <c:pt idx="19">
                  <c:v>105.6116387</c:v>
                </c:pt>
                <c:pt idx="20">
                  <c:v>116.43072600000001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'Sheet2 (2)'!$V$3</c:f>
              <c:strCache>
                <c:ptCount val="1"/>
                <c:pt idx="0">
                  <c:v>Pipe  90 degrees </c:v>
                </c:pt>
              </c:strCache>
            </c:strRef>
          </c:tx>
          <c:spPr>
            <a:ln w="19050" cmpd="dbl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'Sheet2 (2)'!$V$5:$V$25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(2)'!$W$5:$W$25</c:f>
              <c:numCache>
                <c:formatCode>General</c:formatCode>
                <c:ptCount val="21"/>
                <c:pt idx="0">
                  <c:v>0</c:v>
                </c:pt>
                <c:pt idx="1">
                  <c:v>0.81892349999999992</c:v>
                </c:pt>
                <c:pt idx="2">
                  <c:v>2.1653229999999999</c:v>
                </c:pt>
                <c:pt idx="3">
                  <c:v>4.0391984999999995</c:v>
                </c:pt>
                <c:pt idx="4">
                  <c:v>6.44055</c:v>
                </c:pt>
                <c:pt idx="5">
                  <c:v>9.3693774999999988</c:v>
                </c:pt>
                <c:pt idx="6">
                  <c:v>12.825680999999999</c:v>
                </c:pt>
                <c:pt idx="7">
                  <c:v>16.8094605</c:v>
                </c:pt>
                <c:pt idx="8">
                  <c:v>21.320715999999997</c:v>
                </c:pt>
                <c:pt idx="9">
                  <c:v>26.359447499999998</c:v>
                </c:pt>
                <c:pt idx="10">
                  <c:v>31.925654999999999</c:v>
                </c:pt>
                <c:pt idx="11">
                  <c:v>38.019338500000003</c:v>
                </c:pt>
                <c:pt idx="12">
                  <c:v>44.640497999999994</c:v>
                </c:pt>
                <c:pt idx="13">
                  <c:v>51.789133499999998</c:v>
                </c:pt>
                <c:pt idx="14">
                  <c:v>59.465244999999996</c:v>
                </c:pt>
                <c:pt idx="15">
                  <c:v>67.668832499999994</c:v>
                </c:pt>
                <c:pt idx="16">
                  <c:v>76.399895999999998</c:v>
                </c:pt>
                <c:pt idx="17">
                  <c:v>85.658435499999996</c:v>
                </c:pt>
                <c:pt idx="18">
                  <c:v>95.444451000000001</c:v>
                </c:pt>
                <c:pt idx="19">
                  <c:v>105.7579425</c:v>
                </c:pt>
                <c:pt idx="20">
                  <c:v>116.59890999999999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'Sheet2 (2)'!$Y$3</c:f>
              <c:strCache>
                <c:ptCount val="1"/>
                <c:pt idx="0">
                  <c:v>Pipe 135 degrees </c:v>
                </c:pt>
              </c:strCache>
            </c:strRef>
          </c:tx>
          <c:spPr>
            <a:ln w="19050" cmpd="dbl">
              <a:solidFill>
                <a:srgbClr val="7030A0"/>
              </a:solidFill>
              <a:prstDash val="lgDashDotDot"/>
            </a:ln>
          </c:spPr>
          <c:marker>
            <c:symbol val="none"/>
          </c:marker>
          <c:xVal>
            <c:numRef>
              <c:f>'Sheet2 (2)'!$Y$5:$Y$25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(2)'!$Z$5:$Z$25</c:f>
              <c:numCache>
                <c:formatCode>General</c:formatCode>
                <c:ptCount val="21"/>
                <c:pt idx="0">
                  <c:v>0</c:v>
                </c:pt>
                <c:pt idx="1">
                  <c:v>0.83417620000000003</c:v>
                </c:pt>
                <c:pt idx="2">
                  <c:v>2.1920364000000001</c:v>
                </c:pt>
                <c:pt idx="3">
                  <c:v>4.0735806000000006</c:v>
                </c:pt>
                <c:pt idx="4">
                  <c:v>6.4788088000000004</c:v>
                </c:pt>
                <c:pt idx="5">
                  <c:v>9.4077210000000004</c:v>
                </c:pt>
                <c:pt idx="6">
                  <c:v>12.860317200000001</c:v>
                </c:pt>
                <c:pt idx="7">
                  <c:v>16.836597400000002</c:v>
                </c:pt>
                <c:pt idx="8">
                  <c:v>21.336561600000003</c:v>
                </c:pt>
                <c:pt idx="9">
                  <c:v>26.3602098</c:v>
                </c:pt>
                <c:pt idx="10">
                  <c:v>31.907541999999999</c:v>
                </c:pt>
                <c:pt idx="11">
                  <c:v>37.978558200000002</c:v>
                </c:pt>
                <c:pt idx="12">
                  <c:v>44.573258400000007</c:v>
                </c:pt>
                <c:pt idx="13">
                  <c:v>51.691642600000009</c:v>
                </c:pt>
                <c:pt idx="14">
                  <c:v>59.333710800000006</c:v>
                </c:pt>
                <c:pt idx="15">
                  <c:v>67.499463000000006</c:v>
                </c:pt>
                <c:pt idx="16">
                  <c:v>76.188899200000009</c:v>
                </c:pt>
                <c:pt idx="17">
                  <c:v>85.402019400000015</c:v>
                </c:pt>
                <c:pt idx="18">
                  <c:v>95.138823600000009</c:v>
                </c:pt>
                <c:pt idx="19">
                  <c:v>105.39931180000001</c:v>
                </c:pt>
                <c:pt idx="20">
                  <c:v>116.18348400000001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'Sheet2 (2)'!$AB$3</c:f>
              <c:strCache>
                <c:ptCount val="1"/>
                <c:pt idx="0">
                  <c:v>Pipe 165 degrees </c:v>
                </c:pt>
              </c:strCache>
            </c:strRef>
          </c:tx>
          <c:spPr>
            <a:ln w="19050" cmpd="dbl">
              <a:solidFill>
                <a:srgbClr val="FFC000"/>
              </a:solidFill>
              <a:prstDash val="lgDashDotDot"/>
            </a:ln>
          </c:spPr>
          <c:marker>
            <c:symbol val="none"/>
          </c:marker>
          <c:xVal>
            <c:numRef>
              <c:f>'Sheet2 (2)'!$AB$5:$AB$25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(2)'!$AC$5:$AC$25</c:f>
              <c:numCache>
                <c:formatCode>General</c:formatCode>
                <c:ptCount val="21"/>
                <c:pt idx="0">
                  <c:v>0</c:v>
                </c:pt>
                <c:pt idx="1">
                  <c:v>0.82897270000000001</c:v>
                </c:pt>
                <c:pt idx="2">
                  <c:v>2.1829993999999999</c:v>
                </c:pt>
                <c:pt idx="3">
                  <c:v>4.0620801000000002</c:v>
                </c:pt>
                <c:pt idx="4">
                  <c:v>6.4662147999999995</c:v>
                </c:pt>
                <c:pt idx="5">
                  <c:v>9.3954034999999987</c:v>
                </c:pt>
                <c:pt idx="6">
                  <c:v>12.8496462</c:v>
                </c:pt>
                <c:pt idx="7">
                  <c:v>16.828942900000001</c:v>
                </c:pt>
                <c:pt idx="8">
                  <c:v>21.333293600000001</c:v>
                </c:pt>
                <c:pt idx="9">
                  <c:v>26.362698299999998</c:v>
                </c:pt>
                <c:pt idx="10">
                  <c:v>31.917156999999996</c:v>
                </c:pt>
                <c:pt idx="11">
                  <c:v>37.996669699999998</c:v>
                </c:pt>
                <c:pt idx="12">
                  <c:v>44.601236399999998</c:v>
                </c:pt>
                <c:pt idx="13">
                  <c:v>51.730857099999994</c:v>
                </c:pt>
                <c:pt idx="14">
                  <c:v>59.385531800000003</c:v>
                </c:pt>
                <c:pt idx="15">
                  <c:v>67.565260499999994</c:v>
                </c:pt>
                <c:pt idx="16">
                  <c:v>76.270043200000003</c:v>
                </c:pt>
                <c:pt idx="17">
                  <c:v>85.499879899999996</c:v>
                </c:pt>
                <c:pt idx="18">
                  <c:v>95.254770600000001</c:v>
                </c:pt>
                <c:pt idx="19">
                  <c:v>105.53471529999999</c:v>
                </c:pt>
                <c:pt idx="20">
                  <c:v>116.33971399999999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'Sheet2 (2)'!$AE$3</c:f>
              <c:strCache>
                <c:ptCount val="1"/>
                <c:pt idx="0">
                  <c:v>Joint 0 degrees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'Sheet2 (2)'!$AE$5:$AE$25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(2)'!$AF$5:$AF$25</c:f>
              <c:numCache>
                <c:formatCode>General</c:formatCode>
                <c:ptCount val="21"/>
                <c:pt idx="0">
                  <c:v>0</c:v>
                </c:pt>
                <c:pt idx="1">
                  <c:v>2.1462148999999999</c:v>
                </c:pt>
                <c:pt idx="2">
                  <c:v>7.3386777999999993</c:v>
                </c:pt>
                <c:pt idx="3">
                  <c:v>15.5773887</c:v>
                </c:pt>
                <c:pt idx="4">
                  <c:v>26.862347599999996</c:v>
                </c:pt>
                <c:pt idx="5">
                  <c:v>41.193554499999998</c:v>
                </c:pt>
                <c:pt idx="6">
                  <c:v>58.571009399999994</c:v>
                </c:pt>
                <c:pt idx="7">
                  <c:v>78.994712299999989</c:v>
                </c:pt>
                <c:pt idx="8">
                  <c:v>102.46466319999999</c:v>
                </c:pt>
                <c:pt idx="9">
                  <c:v>128.9808621</c:v>
                </c:pt>
                <c:pt idx="10">
                  <c:v>158.54330899999999</c:v>
                </c:pt>
                <c:pt idx="11">
                  <c:v>191.15200389999998</c:v>
                </c:pt>
                <c:pt idx="12">
                  <c:v>226.80694679999999</c:v>
                </c:pt>
                <c:pt idx="13">
                  <c:v>265.50813770000002</c:v>
                </c:pt>
                <c:pt idx="14">
                  <c:v>307.25557659999998</c:v>
                </c:pt>
                <c:pt idx="15">
                  <c:v>352.04926349999994</c:v>
                </c:pt>
                <c:pt idx="16">
                  <c:v>399.8891984</c:v>
                </c:pt>
                <c:pt idx="17">
                  <c:v>450.77538129999994</c:v>
                </c:pt>
                <c:pt idx="18">
                  <c:v>504.70781219999998</c:v>
                </c:pt>
                <c:pt idx="19">
                  <c:v>561.6864910999999</c:v>
                </c:pt>
                <c:pt idx="20">
                  <c:v>621.71141799999998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'Sheet2 (2)'!$AH$3</c:f>
              <c:strCache>
                <c:ptCount val="1"/>
                <c:pt idx="0">
                  <c:v>Joint 45 degrees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'Sheet2 (2)'!$AH$5:$AH$25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(2)'!$AI$5:$AI$25</c:f>
              <c:numCache>
                <c:formatCode>General</c:formatCode>
                <c:ptCount val="21"/>
                <c:pt idx="0">
                  <c:v>0</c:v>
                </c:pt>
                <c:pt idx="1">
                  <c:v>1.8618355000000002</c:v>
                </c:pt>
                <c:pt idx="2">
                  <c:v>6.7856550000000002</c:v>
                </c:pt>
                <c:pt idx="3">
                  <c:v>14.7714585</c:v>
                </c:pt>
                <c:pt idx="4">
                  <c:v>25.819246000000003</c:v>
                </c:pt>
                <c:pt idx="5">
                  <c:v>39.9290175</c:v>
                </c:pt>
                <c:pt idx="6">
                  <c:v>57.100773000000004</c:v>
                </c:pt>
                <c:pt idx="7">
                  <c:v>77.334512500000002</c:v>
                </c:pt>
                <c:pt idx="8">
                  <c:v>100.630236</c:v>
                </c:pt>
                <c:pt idx="9">
                  <c:v>126.98794350000003</c:v>
                </c:pt>
                <c:pt idx="10">
                  <c:v>156.40763500000003</c:v>
                </c:pt>
                <c:pt idx="11">
                  <c:v>188.88931050000002</c:v>
                </c:pt>
                <c:pt idx="12">
                  <c:v>224.43297000000001</c:v>
                </c:pt>
                <c:pt idx="13">
                  <c:v>263.0386135</c:v>
                </c:pt>
                <c:pt idx="14">
                  <c:v>304.70624100000003</c:v>
                </c:pt>
                <c:pt idx="15">
                  <c:v>349.43585250000007</c:v>
                </c:pt>
                <c:pt idx="16">
                  <c:v>397.22744800000004</c:v>
                </c:pt>
                <c:pt idx="17">
                  <c:v>448.0810275</c:v>
                </c:pt>
                <c:pt idx="18">
                  <c:v>501.99659100000008</c:v>
                </c:pt>
                <c:pt idx="19">
                  <c:v>558.97413850000009</c:v>
                </c:pt>
                <c:pt idx="20">
                  <c:v>619.01367000000005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'Sheet2 (2)'!$AK$3</c:f>
              <c:strCache>
                <c:ptCount val="1"/>
                <c:pt idx="0">
                  <c:v>Joint  90 degrees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'Sheet2 (2)'!$AK$5:$AK$25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(2)'!$AL$5:$AL$25</c:f>
              <c:numCache>
                <c:formatCode>General</c:formatCode>
                <c:ptCount val="21"/>
                <c:pt idx="0">
                  <c:v>0</c:v>
                </c:pt>
                <c:pt idx="1">
                  <c:v>1.7095278</c:v>
                </c:pt>
                <c:pt idx="2">
                  <c:v>7.2654376000000012</c:v>
                </c:pt>
                <c:pt idx="3">
                  <c:v>16.667729399999999</c:v>
                </c:pt>
                <c:pt idx="4">
                  <c:v>29.916403199999998</c:v>
                </c:pt>
                <c:pt idx="5">
                  <c:v>47.011459000000002</c:v>
                </c:pt>
                <c:pt idx="6">
                  <c:v>67.952896799999991</c:v>
                </c:pt>
                <c:pt idx="7">
                  <c:v>92.740716599999999</c:v>
                </c:pt>
                <c:pt idx="8">
                  <c:v>121.37491840000001</c:v>
                </c:pt>
                <c:pt idx="9">
                  <c:v>153.85550219999999</c:v>
                </c:pt>
                <c:pt idx="10">
                  <c:v>190.182468</c:v>
                </c:pt>
                <c:pt idx="11">
                  <c:v>230.35581579999996</c:v>
                </c:pt>
                <c:pt idx="12">
                  <c:v>274.37554560000001</c:v>
                </c:pt>
                <c:pt idx="13">
                  <c:v>322.24165740000001</c:v>
                </c:pt>
                <c:pt idx="14">
                  <c:v>373.95415120000001</c:v>
                </c:pt>
                <c:pt idx="15">
                  <c:v>429.51302699999997</c:v>
                </c:pt>
                <c:pt idx="16">
                  <c:v>488.91828480000004</c:v>
                </c:pt>
                <c:pt idx="17">
                  <c:v>552.16992459999994</c:v>
                </c:pt>
                <c:pt idx="18">
                  <c:v>619.26794640000003</c:v>
                </c:pt>
                <c:pt idx="19">
                  <c:v>690.21235019999995</c:v>
                </c:pt>
                <c:pt idx="20">
                  <c:v>765.00313600000004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'Sheet2 (2)'!$AN$3</c:f>
              <c:strCache>
                <c:ptCount val="1"/>
                <c:pt idx="0">
                  <c:v>Joint 135 degrees 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'Sheet2 (2)'!$AN$5:$AN$25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(2)'!$AO$5:$AO$25</c:f>
              <c:numCache>
                <c:formatCode>General</c:formatCode>
                <c:ptCount val="21"/>
                <c:pt idx="0">
                  <c:v>0</c:v>
                </c:pt>
                <c:pt idx="1">
                  <c:v>3.8234238999999999</c:v>
                </c:pt>
                <c:pt idx="2">
                  <c:v>12.087633800000003</c:v>
                </c:pt>
                <c:pt idx="3">
                  <c:v>24.792629699999999</c:v>
                </c:pt>
                <c:pt idx="4">
                  <c:v>41.938411600000002</c:v>
                </c:pt>
                <c:pt idx="5">
                  <c:v>63.524979499999993</c:v>
                </c:pt>
                <c:pt idx="6">
                  <c:v>89.552333400000009</c:v>
                </c:pt>
                <c:pt idx="7">
                  <c:v>120.02047330000001</c:v>
                </c:pt>
                <c:pt idx="8">
                  <c:v>154.92939920000001</c:v>
                </c:pt>
                <c:pt idx="9">
                  <c:v>194.27911109999999</c:v>
                </c:pt>
                <c:pt idx="10">
                  <c:v>238.06960899999999</c:v>
                </c:pt>
                <c:pt idx="11">
                  <c:v>286.30089290000001</c:v>
                </c:pt>
                <c:pt idx="12">
                  <c:v>338.9729628</c:v>
                </c:pt>
                <c:pt idx="13">
                  <c:v>396.0858187</c:v>
                </c:pt>
                <c:pt idx="14">
                  <c:v>457.63946059999995</c:v>
                </c:pt>
                <c:pt idx="15">
                  <c:v>523.63388850000001</c:v>
                </c:pt>
                <c:pt idx="16">
                  <c:v>594.06910240000002</c:v>
                </c:pt>
                <c:pt idx="17">
                  <c:v>668.94510230000003</c:v>
                </c:pt>
                <c:pt idx="18">
                  <c:v>748.26188819999993</c:v>
                </c:pt>
                <c:pt idx="19">
                  <c:v>832.01946009999995</c:v>
                </c:pt>
                <c:pt idx="20">
                  <c:v>920.21781799999997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'Sheet2 (2)'!$AQ$3</c:f>
              <c:strCache>
                <c:ptCount val="1"/>
                <c:pt idx="0">
                  <c:v>Joint 165 degrees 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'Sheet2 (2)'!$AQ$5:$AQ$25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(2)'!$AR$5:$AR$25</c:f>
              <c:numCache>
                <c:formatCode>General</c:formatCode>
                <c:ptCount val="21"/>
                <c:pt idx="0">
                  <c:v>0</c:v>
                </c:pt>
                <c:pt idx="1">
                  <c:v>2.7850134000000004</c:v>
                </c:pt>
                <c:pt idx="2">
                  <c:v>10.626310800000001</c:v>
                </c:pt>
                <c:pt idx="3">
                  <c:v>23.523892200000002</c:v>
                </c:pt>
                <c:pt idx="4">
                  <c:v>41.477757600000004</c:v>
                </c:pt>
                <c:pt idx="5">
                  <c:v>64.487907000000007</c:v>
                </c:pt>
                <c:pt idx="6">
                  <c:v>92.554340400000001</c:v>
                </c:pt>
                <c:pt idx="7">
                  <c:v>125.67705780000001</c:v>
                </c:pt>
                <c:pt idx="8">
                  <c:v>163.85605920000003</c:v>
                </c:pt>
                <c:pt idx="9">
                  <c:v>207.09134460000001</c:v>
                </c:pt>
                <c:pt idx="10">
                  <c:v>255.38291400000006</c:v>
                </c:pt>
                <c:pt idx="11">
                  <c:v>308.73076740000005</c:v>
                </c:pt>
                <c:pt idx="12">
                  <c:v>367.13490480000002</c:v>
                </c:pt>
                <c:pt idx="13">
                  <c:v>430.59532620000004</c:v>
                </c:pt>
                <c:pt idx="14">
                  <c:v>499.11203159999997</c:v>
                </c:pt>
                <c:pt idx="15">
                  <c:v>572.68502100000001</c:v>
                </c:pt>
                <c:pt idx="16">
                  <c:v>651.31429439999999</c:v>
                </c:pt>
                <c:pt idx="17">
                  <c:v>734.9998518000001</c:v>
                </c:pt>
                <c:pt idx="18">
                  <c:v>823.74169319999999</c:v>
                </c:pt>
                <c:pt idx="19">
                  <c:v>917.53981859999999</c:v>
                </c:pt>
                <c:pt idx="20">
                  <c:v>1016.3942280000001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27056"/>
        <c:axId val="449619608"/>
      </c:scatterChart>
      <c:valAx>
        <c:axId val="44962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</a:t>
                </a:r>
                <a:r>
                  <a:rPr lang="en-US" sz="1400"/>
                  <a:t>Flow</a:t>
                </a:r>
                <a:r>
                  <a:rPr lang="en-US" sz="1400" baseline="0"/>
                  <a:t> rate [m^3/h]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3973965944281701"/>
              <c:y val="0.835190279463280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9619608"/>
        <c:crosses val="autoZero"/>
        <c:crossBetween val="midCat"/>
        <c:majorUnit val="10"/>
      </c:valAx>
      <c:valAx>
        <c:axId val="449619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loss[Pa/m]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9627056"/>
        <c:crosses val="autoZero"/>
        <c:crossBetween val="midCat"/>
        <c:majorUnit val="50"/>
      </c:valAx>
    </c:plotArea>
    <c:legend>
      <c:legendPos val="b"/>
      <c:layout>
        <c:manualLayout>
          <c:xMode val="edge"/>
          <c:yMode val="edge"/>
          <c:x val="0.18492421080868682"/>
          <c:y val="0.88718002205082924"/>
          <c:w val="0.75060803553401978"/>
          <c:h val="0.1125414475195483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showing pressure losses i drejeled alene vs flow rates at different angles</a:t>
            </a:r>
            <a:endParaRPr lang="en-US"/>
          </a:p>
        </c:rich>
      </c:tx>
      <c:layout>
        <c:manualLayout>
          <c:xMode val="edge"/>
          <c:yMode val="edge"/>
          <c:x val="0.24552951233861675"/>
          <c:y val="3.4139404089981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89925543928675E-2"/>
          <c:y val="0.10838911340101985"/>
          <c:w val="0.91931644042735416"/>
          <c:h val="0.689158709654179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'Sheet2 (2)'!$A$3</c:f>
              <c:strCache>
                <c:ptCount val="1"/>
                <c:pt idx="0">
                  <c:v>Total 0 degrees 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'Sheet2 (2)'!$A$5:$A$25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(2)'!$B$5:$B$25</c:f>
              <c:numCache>
                <c:formatCode>General</c:formatCode>
                <c:ptCount val="21"/>
                <c:pt idx="0">
                  <c:v>0</c:v>
                </c:pt>
                <c:pt idx="1">
                  <c:v>2.9735090999999998</c:v>
                </c:pt>
                <c:pt idx="2">
                  <c:v>9.5185681999999989</c:v>
                </c:pt>
                <c:pt idx="3">
                  <c:v>19.635177299999999</c:v>
                </c:pt>
                <c:pt idx="4">
                  <c:v>33.323336399999995</c:v>
                </c:pt>
                <c:pt idx="5">
                  <c:v>50.583045499999997</c:v>
                </c:pt>
                <c:pt idx="6">
                  <c:v>71.414304599999994</c:v>
                </c:pt>
                <c:pt idx="7">
                  <c:v>95.817113699999993</c:v>
                </c:pt>
                <c:pt idx="8">
                  <c:v>123.79147279999999</c:v>
                </c:pt>
                <c:pt idx="9">
                  <c:v>155.3373819</c:v>
                </c:pt>
                <c:pt idx="10">
                  <c:v>190.45484099999999</c:v>
                </c:pt>
                <c:pt idx="11">
                  <c:v>229.14385009999998</c:v>
                </c:pt>
                <c:pt idx="12">
                  <c:v>271.40440919999998</c:v>
                </c:pt>
                <c:pt idx="13">
                  <c:v>317.2365183</c:v>
                </c:pt>
                <c:pt idx="14">
                  <c:v>366.64017739999997</c:v>
                </c:pt>
                <c:pt idx="15">
                  <c:v>419.61538649999994</c:v>
                </c:pt>
                <c:pt idx="16">
                  <c:v>476.16214559999997</c:v>
                </c:pt>
                <c:pt idx="17">
                  <c:v>536.28045469999995</c:v>
                </c:pt>
                <c:pt idx="18">
                  <c:v>599.97031379999999</c:v>
                </c:pt>
                <c:pt idx="19">
                  <c:v>667.23172289999991</c:v>
                </c:pt>
                <c:pt idx="20">
                  <c:v>738.06468199999995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'Sheet2 (2)'!$D$3</c:f>
              <c:strCache>
                <c:ptCount val="1"/>
                <c:pt idx="0">
                  <c:v>Total 45 degrees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'Sheet2 (2)'!$D$5:$D$25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(2)'!$E$5:$E$25</c:f>
              <c:numCache>
                <c:formatCode>General</c:formatCode>
                <c:ptCount val="21"/>
                <c:pt idx="0">
                  <c:v>0</c:v>
                </c:pt>
                <c:pt idx="1">
                  <c:v>2.6858208000000001</c:v>
                </c:pt>
                <c:pt idx="2">
                  <c:v>8.9596836</c:v>
                </c:pt>
                <c:pt idx="3">
                  <c:v>18.8215884</c:v>
                </c:pt>
                <c:pt idx="4">
                  <c:v>32.271535200000002</c:v>
                </c:pt>
                <c:pt idx="5">
                  <c:v>49.309524000000003</c:v>
                </c:pt>
                <c:pt idx="6">
                  <c:v>69.935554800000006</c:v>
                </c:pt>
                <c:pt idx="7">
                  <c:v>94.149627600000002</c:v>
                </c:pt>
                <c:pt idx="8">
                  <c:v>121.9517424</c:v>
                </c:pt>
                <c:pt idx="9">
                  <c:v>153.34189920000003</c:v>
                </c:pt>
                <c:pt idx="10">
                  <c:v>188.32009800000003</c:v>
                </c:pt>
                <c:pt idx="11">
                  <c:v>226.88633880000003</c:v>
                </c:pt>
                <c:pt idx="12">
                  <c:v>269.04062160000001</c:v>
                </c:pt>
                <c:pt idx="13">
                  <c:v>314.78294640000001</c:v>
                </c:pt>
                <c:pt idx="14">
                  <c:v>364.11331320000005</c:v>
                </c:pt>
                <c:pt idx="15">
                  <c:v>417.03172200000006</c:v>
                </c:pt>
                <c:pt idx="16">
                  <c:v>473.53817280000004</c:v>
                </c:pt>
                <c:pt idx="17">
                  <c:v>533.6326656</c:v>
                </c:pt>
                <c:pt idx="18">
                  <c:v>597.31520040000009</c:v>
                </c:pt>
                <c:pt idx="19">
                  <c:v>664.58577720000005</c:v>
                </c:pt>
                <c:pt idx="20">
                  <c:v>735.4443960000001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'Sheet2 (2)'!$G$3</c:f>
              <c:strCache>
                <c:ptCount val="1"/>
                <c:pt idx="0">
                  <c:v>Total 90 degrees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'Sheet2 (2)'!$G$5:$G$25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(2)'!$H$5:$H$25</c:f>
              <c:numCache>
                <c:formatCode>General</c:formatCode>
                <c:ptCount val="21"/>
                <c:pt idx="0">
                  <c:v>0</c:v>
                </c:pt>
                <c:pt idx="1">
                  <c:v>2.5284513</c:v>
                </c:pt>
                <c:pt idx="2">
                  <c:v>9.430760600000001</c:v>
                </c:pt>
                <c:pt idx="3">
                  <c:v>20.7069279</c:v>
                </c:pt>
                <c:pt idx="4">
                  <c:v>36.3569532</c:v>
                </c:pt>
                <c:pt idx="5">
                  <c:v>56.380836500000001</c:v>
                </c:pt>
                <c:pt idx="6">
                  <c:v>80.778577799999994</c:v>
                </c:pt>
                <c:pt idx="7">
                  <c:v>109.5501771</c:v>
                </c:pt>
                <c:pt idx="8">
                  <c:v>142.69563440000002</c:v>
                </c:pt>
                <c:pt idx="9">
                  <c:v>180.21494969999998</c:v>
                </c:pt>
                <c:pt idx="10">
                  <c:v>222.10812300000001</c:v>
                </c:pt>
                <c:pt idx="11">
                  <c:v>268.37515429999996</c:v>
                </c:pt>
                <c:pt idx="12">
                  <c:v>319.01604359999999</c:v>
                </c:pt>
                <c:pt idx="13">
                  <c:v>374.0307909</c:v>
                </c:pt>
                <c:pt idx="14">
                  <c:v>433.41939619999999</c:v>
                </c:pt>
                <c:pt idx="15">
                  <c:v>497.18185949999997</c:v>
                </c:pt>
                <c:pt idx="16">
                  <c:v>565.31818080000005</c:v>
                </c:pt>
                <c:pt idx="17">
                  <c:v>637.82836009999994</c:v>
                </c:pt>
                <c:pt idx="18">
                  <c:v>714.71239739999999</c:v>
                </c:pt>
                <c:pt idx="19">
                  <c:v>795.97029269999996</c:v>
                </c:pt>
                <c:pt idx="20">
                  <c:v>881.60204600000009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'Sheet2 (2)'!$J$3</c:f>
              <c:strCache>
                <c:ptCount val="1"/>
                <c:pt idx="0">
                  <c:v>Total 135 degrees </c:v>
                </c:pt>
              </c:strCache>
            </c:strRef>
          </c:tx>
          <c:spPr>
            <a:ln w="19050" cmpd="sng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'Sheet2 (2)'!$J$5:$J$25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(2)'!$K$5:$K$25</c:f>
              <c:numCache>
                <c:formatCode>General</c:formatCode>
                <c:ptCount val="21"/>
                <c:pt idx="0">
                  <c:v>0</c:v>
                </c:pt>
                <c:pt idx="1">
                  <c:v>4.6576000999999998</c:v>
                </c:pt>
                <c:pt idx="2">
                  <c:v>14.279670200000002</c:v>
                </c:pt>
                <c:pt idx="3">
                  <c:v>28.866210299999999</c:v>
                </c:pt>
                <c:pt idx="4">
                  <c:v>48.417220400000005</c:v>
                </c:pt>
                <c:pt idx="5">
                  <c:v>72.932700499999996</c:v>
                </c:pt>
                <c:pt idx="6">
                  <c:v>102.41265060000001</c:v>
                </c:pt>
                <c:pt idx="7">
                  <c:v>136.85707070000001</c:v>
                </c:pt>
                <c:pt idx="8">
                  <c:v>176.26596080000002</c:v>
                </c:pt>
                <c:pt idx="9">
                  <c:v>220.6393209</c:v>
                </c:pt>
                <c:pt idx="10">
                  <c:v>269.97715099999999</c:v>
                </c:pt>
                <c:pt idx="11">
                  <c:v>324.27945110000002</c:v>
                </c:pt>
                <c:pt idx="12">
                  <c:v>383.54622119999999</c:v>
                </c:pt>
                <c:pt idx="13">
                  <c:v>447.77746130000003</c:v>
                </c:pt>
                <c:pt idx="14">
                  <c:v>516.97317139999996</c:v>
                </c:pt>
                <c:pt idx="15">
                  <c:v>591.1333515</c:v>
                </c:pt>
                <c:pt idx="16">
                  <c:v>670.25800160000006</c:v>
                </c:pt>
                <c:pt idx="17">
                  <c:v>754.3471217</c:v>
                </c:pt>
                <c:pt idx="18">
                  <c:v>843.40071179999995</c:v>
                </c:pt>
                <c:pt idx="19">
                  <c:v>937.41877189999991</c:v>
                </c:pt>
                <c:pt idx="20">
                  <c:v>1036.401302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'Sheet2 (2)'!$M$3</c:f>
              <c:strCache>
                <c:ptCount val="1"/>
                <c:pt idx="0">
                  <c:v>Total 165 degrees 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'Sheet2 (2)'!$M$5:$M$25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(2)'!$N$5:$N$25</c:f>
              <c:numCache>
                <c:formatCode>General</c:formatCode>
                <c:ptCount val="21"/>
                <c:pt idx="0">
                  <c:v>0</c:v>
                </c:pt>
                <c:pt idx="1">
                  <c:v>3.6139861000000004</c:v>
                </c:pt>
                <c:pt idx="2">
                  <c:v>12.809310200000001</c:v>
                </c:pt>
                <c:pt idx="3">
                  <c:v>27.585972300000002</c:v>
                </c:pt>
                <c:pt idx="4">
                  <c:v>47.943972400000007</c:v>
                </c:pt>
                <c:pt idx="5">
                  <c:v>73.883310500000007</c:v>
                </c:pt>
                <c:pt idx="6">
                  <c:v>105.4039866</c:v>
                </c:pt>
                <c:pt idx="7">
                  <c:v>142.50600070000002</c:v>
                </c:pt>
                <c:pt idx="8">
                  <c:v>185.18935280000002</c:v>
                </c:pt>
                <c:pt idx="9">
                  <c:v>233.45404290000002</c:v>
                </c:pt>
                <c:pt idx="10">
                  <c:v>287.30007100000006</c:v>
                </c:pt>
                <c:pt idx="11">
                  <c:v>346.72743710000003</c:v>
                </c:pt>
                <c:pt idx="12">
                  <c:v>411.73614120000002</c:v>
                </c:pt>
                <c:pt idx="13">
                  <c:v>482.32618330000003</c:v>
                </c:pt>
                <c:pt idx="14">
                  <c:v>558.49756339999999</c:v>
                </c:pt>
                <c:pt idx="15">
                  <c:v>640.25028150000003</c:v>
                </c:pt>
                <c:pt idx="16">
                  <c:v>727.58433760000003</c:v>
                </c:pt>
                <c:pt idx="17">
                  <c:v>820.4997317000001</c:v>
                </c:pt>
                <c:pt idx="18">
                  <c:v>918.99646380000001</c:v>
                </c:pt>
                <c:pt idx="19">
                  <c:v>1023.0745339</c:v>
                </c:pt>
                <c:pt idx="20">
                  <c:v>1132.7339420000001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'Sheet2 (2)'!$P$3</c:f>
              <c:strCache>
                <c:ptCount val="1"/>
                <c:pt idx="0">
                  <c:v>Pipe 0 degrees 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lgDashDotDot"/>
            </a:ln>
          </c:spPr>
          <c:marker>
            <c:symbol val="none"/>
          </c:marker>
          <c:xVal>
            <c:numRef>
              <c:f>'Sheet2 (2)'!$P$5:$P$25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(2)'!$Q$5:$Q$25</c:f>
              <c:numCache>
                <c:formatCode>General</c:formatCode>
                <c:ptCount val="21"/>
                <c:pt idx="0">
                  <c:v>0</c:v>
                </c:pt>
                <c:pt idx="1">
                  <c:v>0.82729419999999998</c:v>
                </c:pt>
                <c:pt idx="2">
                  <c:v>2.1798903999999997</c:v>
                </c:pt>
                <c:pt idx="3">
                  <c:v>4.0577885999999994</c:v>
                </c:pt>
                <c:pt idx="4">
                  <c:v>6.4609887999999991</c:v>
                </c:pt>
                <c:pt idx="5">
                  <c:v>9.3894909999999996</c:v>
                </c:pt>
                <c:pt idx="6">
                  <c:v>12.843295199999998</c:v>
                </c:pt>
                <c:pt idx="7">
                  <c:v>16.8224014</c:v>
                </c:pt>
                <c:pt idx="8">
                  <c:v>21.326809599999997</c:v>
                </c:pt>
                <c:pt idx="9">
                  <c:v>26.356519800000001</c:v>
                </c:pt>
                <c:pt idx="10">
                  <c:v>31.911532000000001</c:v>
                </c:pt>
                <c:pt idx="11">
                  <c:v>37.991846199999998</c:v>
                </c:pt>
                <c:pt idx="12">
                  <c:v>44.597462399999998</c:v>
                </c:pt>
                <c:pt idx="13">
                  <c:v>51.728380600000001</c:v>
                </c:pt>
                <c:pt idx="14">
                  <c:v>59.384600800000001</c:v>
                </c:pt>
                <c:pt idx="15">
                  <c:v>67.566123000000005</c:v>
                </c:pt>
                <c:pt idx="16">
                  <c:v>76.27294719999999</c:v>
                </c:pt>
                <c:pt idx="17">
                  <c:v>85.505073400000001</c:v>
                </c:pt>
                <c:pt idx="18">
                  <c:v>95.262501599999993</c:v>
                </c:pt>
                <c:pt idx="19">
                  <c:v>105.5452318</c:v>
                </c:pt>
                <c:pt idx="20">
                  <c:v>116.353264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'Sheet2 (2)'!$S$3</c:f>
              <c:strCache>
                <c:ptCount val="1"/>
                <c:pt idx="0">
                  <c:v>Pipe 45 degrees 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'Sheet2 (2)'!$S$5:$S$25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(2)'!$T$5:$T$25</c:f>
              <c:numCache>
                <c:formatCode>General</c:formatCode>
                <c:ptCount val="21"/>
                <c:pt idx="0">
                  <c:v>0</c:v>
                </c:pt>
                <c:pt idx="1">
                  <c:v>0.82398529999999992</c:v>
                </c:pt>
                <c:pt idx="2">
                  <c:v>2.1740285999999998</c:v>
                </c:pt>
                <c:pt idx="3">
                  <c:v>4.0501298999999999</c:v>
                </c:pt>
                <c:pt idx="4">
                  <c:v>6.4522892000000001</c:v>
                </c:pt>
                <c:pt idx="5">
                  <c:v>9.3805064999999992</c:v>
                </c:pt>
                <c:pt idx="6">
                  <c:v>12.8347818</c:v>
                </c:pt>
                <c:pt idx="7">
                  <c:v>16.8151151</c:v>
                </c:pt>
                <c:pt idx="8">
                  <c:v>21.321506400000001</c:v>
                </c:pt>
                <c:pt idx="9">
                  <c:v>26.3539557</c:v>
                </c:pt>
                <c:pt idx="10">
                  <c:v>31.912463000000002</c:v>
                </c:pt>
                <c:pt idx="11">
                  <c:v>37.997028299999997</c:v>
                </c:pt>
                <c:pt idx="12">
                  <c:v>44.607651600000004</c:v>
                </c:pt>
                <c:pt idx="13">
                  <c:v>51.744332900000003</c:v>
                </c:pt>
                <c:pt idx="14">
                  <c:v>59.407072199999995</c:v>
                </c:pt>
                <c:pt idx="15">
                  <c:v>67.595869500000006</c:v>
                </c:pt>
                <c:pt idx="16">
                  <c:v>76.310724800000003</c:v>
                </c:pt>
                <c:pt idx="17">
                  <c:v>85.551638100000005</c:v>
                </c:pt>
                <c:pt idx="18">
                  <c:v>95.3186094</c:v>
                </c:pt>
                <c:pt idx="19">
                  <c:v>105.6116387</c:v>
                </c:pt>
                <c:pt idx="20">
                  <c:v>116.43072600000001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'Sheet2 (2)'!$V$3</c:f>
              <c:strCache>
                <c:ptCount val="1"/>
                <c:pt idx="0">
                  <c:v>Pipe  90 degrees </c:v>
                </c:pt>
              </c:strCache>
            </c:strRef>
          </c:tx>
          <c:spPr>
            <a:ln w="19050" cmpd="dbl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'Sheet2 (2)'!$V$5:$V$25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(2)'!$W$5:$W$25</c:f>
              <c:numCache>
                <c:formatCode>General</c:formatCode>
                <c:ptCount val="21"/>
                <c:pt idx="0">
                  <c:v>0</c:v>
                </c:pt>
                <c:pt idx="1">
                  <c:v>0.81892349999999992</c:v>
                </c:pt>
                <c:pt idx="2">
                  <c:v>2.1653229999999999</c:v>
                </c:pt>
                <c:pt idx="3">
                  <c:v>4.0391984999999995</c:v>
                </c:pt>
                <c:pt idx="4">
                  <c:v>6.44055</c:v>
                </c:pt>
                <c:pt idx="5">
                  <c:v>9.3693774999999988</c:v>
                </c:pt>
                <c:pt idx="6">
                  <c:v>12.825680999999999</c:v>
                </c:pt>
                <c:pt idx="7">
                  <c:v>16.8094605</c:v>
                </c:pt>
                <c:pt idx="8">
                  <c:v>21.320715999999997</c:v>
                </c:pt>
                <c:pt idx="9">
                  <c:v>26.359447499999998</c:v>
                </c:pt>
                <c:pt idx="10">
                  <c:v>31.925654999999999</c:v>
                </c:pt>
                <c:pt idx="11">
                  <c:v>38.019338500000003</c:v>
                </c:pt>
                <c:pt idx="12">
                  <c:v>44.640497999999994</c:v>
                </c:pt>
                <c:pt idx="13">
                  <c:v>51.789133499999998</c:v>
                </c:pt>
                <c:pt idx="14">
                  <c:v>59.465244999999996</c:v>
                </c:pt>
                <c:pt idx="15">
                  <c:v>67.668832499999994</c:v>
                </c:pt>
                <c:pt idx="16">
                  <c:v>76.399895999999998</c:v>
                </c:pt>
                <c:pt idx="17">
                  <c:v>85.658435499999996</c:v>
                </c:pt>
                <c:pt idx="18">
                  <c:v>95.444451000000001</c:v>
                </c:pt>
                <c:pt idx="19">
                  <c:v>105.7579425</c:v>
                </c:pt>
                <c:pt idx="20">
                  <c:v>116.59890999999999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'Sheet2 (2)'!$Y$3</c:f>
              <c:strCache>
                <c:ptCount val="1"/>
                <c:pt idx="0">
                  <c:v>Pipe 135 degrees </c:v>
                </c:pt>
              </c:strCache>
            </c:strRef>
          </c:tx>
          <c:spPr>
            <a:ln w="19050" cmpd="dbl">
              <a:solidFill>
                <a:srgbClr val="7030A0"/>
              </a:solidFill>
              <a:prstDash val="lgDashDotDot"/>
            </a:ln>
          </c:spPr>
          <c:marker>
            <c:symbol val="none"/>
          </c:marker>
          <c:xVal>
            <c:numRef>
              <c:f>'Sheet2 (2)'!$Y$5:$Y$25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(2)'!$Z$5:$Z$25</c:f>
              <c:numCache>
                <c:formatCode>General</c:formatCode>
                <c:ptCount val="21"/>
                <c:pt idx="0">
                  <c:v>0</c:v>
                </c:pt>
                <c:pt idx="1">
                  <c:v>0.83417620000000003</c:v>
                </c:pt>
                <c:pt idx="2">
                  <c:v>2.1920364000000001</c:v>
                </c:pt>
                <c:pt idx="3">
                  <c:v>4.0735806000000006</c:v>
                </c:pt>
                <c:pt idx="4">
                  <c:v>6.4788088000000004</c:v>
                </c:pt>
                <c:pt idx="5">
                  <c:v>9.4077210000000004</c:v>
                </c:pt>
                <c:pt idx="6">
                  <c:v>12.860317200000001</c:v>
                </c:pt>
                <c:pt idx="7">
                  <c:v>16.836597400000002</c:v>
                </c:pt>
                <c:pt idx="8">
                  <c:v>21.336561600000003</c:v>
                </c:pt>
                <c:pt idx="9">
                  <c:v>26.3602098</c:v>
                </c:pt>
                <c:pt idx="10">
                  <c:v>31.907541999999999</c:v>
                </c:pt>
                <c:pt idx="11">
                  <c:v>37.978558200000002</c:v>
                </c:pt>
                <c:pt idx="12">
                  <c:v>44.573258400000007</c:v>
                </c:pt>
                <c:pt idx="13">
                  <c:v>51.691642600000009</c:v>
                </c:pt>
                <c:pt idx="14">
                  <c:v>59.333710800000006</c:v>
                </c:pt>
                <c:pt idx="15">
                  <c:v>67.499463000000006</c:v>
                </c:pt>
                <c:pt idx="16">
                  <c:v>76.188899200000009</c:v>
                </c:pt>
                <c:pt idx="17">
                  <c:v>85.402019400000015</c:v>
                </c:pt>
                <c:pt idx="18">
                  <c:v>95.138823600000009</c:v>
                </c:pt>
                <c:pt idx="19">
                  <c:v>105.39931180000001</c:v>
                </c:pt>
                <c:pt idx="20">
                  <c:v>116.18348400000001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'Sheet2 (2)'!$AB$3</c:f>
              <c:strCache>
                <c:ptCount val="1"/>
                <c:pt idx="0">
                  <c:v>Pipe 165 degrees </c:v>
                </c:pt>
              </c:strCache>
            </c:strRef>
          </c:tx>
          <c:spPr>
            <a:ln w="19050" cmpd="dbl">
              <a:solidFill>
                <a:srgbClr val="FFC000"/>
              </a:solidFill>
              <a:prstDash val="lgDashDotDot"/>
            </a:ln>
          </c:spPr>
          <c:marker>
            <c:symbol val="none"/>
          </c:marker>
          <c:xVal>
            <c:numRef>
              <c:f>'Sheet2 (2)'!$AB$5:$AB$25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(2)'!$AC$5:$AC$25</c:f>
              <c:numCache>
                <c:formatCode>General</c:formatCode>
                <c:ptCount val="21"/>
                <c:pt idx="0">
                  <c:v>0</c:v>
                </c:pt>
                <c:pt idx="1">
                  <c:v>0.82897270000000001</c:v>
                </c:pt>
                <c:pt idx="2">
                  <c:v>2.1829993999999999</c:v>
                </c:pt>
                <c:pt idx="3">
                  <c:v>4.0620801000000002</c:v>
                </c:pt>
                <c:pt idx="4">
                  <c:v>6.4662147999999995</c:v>
                </c:pt>
                <c:pt idx="5">
                  <c:v>9.3954034999999987</c:v>
                </c:pt>
                <c:pt idx="6">
                  <c:v>12.8496462</c:v>
                </c:pt>
                <c:pt idx="7">
                  <c:v>16.828942900000001</c:v>
                </c:pt>
                <c:pt idx="8">
                  <c:v>21.333293600000001</c:v>
                </c:pt>
                <c:pt idx="9">
                  <c:v>26.362698299999998</c:v>
                </c:pt>
                <c:pt idx="10">
                  <c:v>31.917156999999996</c:v>
                </c:pt>
                <c:pt idx="11">
                  <c:v>37.996669699999998</c:v>
                </c:pt>
                <c:pt idx="12">
                  <c:v>44.601236399999998</c:v>
                </c:pt>
                <c:pt idx="13">
                  <c:v>51.730857099999994</c:v>
                </c:pt>
                <c:pt idx="14">
                  <c:v>59.385531800000003</c:v>
                </c:pt>
                <c:pt idx="15">
                  <c:v>67.565260499999994</c:v>
                </c:pt>
                <c:pt idx="16">
                  <c:v>76.270043200000003</c:v>
                </c:pt>
                <c:pt idx="17">
                  <c:v>85.499879899999996</c:v>
                </c:pt>
                <c:pt idx="18">
                  <c:v>95.254770600000001</c:v>
                </c:pt>
                <c:pt idx="19">
                  <c:v>105.53471529999999</c:v>
                </c:pt>
                <c:pt idx="20">
                  <c:v>116.33971399999999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'Sheet2 (2)'!$AE$3</c:f>
              <c:strCache>
                <c:ptCount val="1"/>
                <c:pt idx="0">
                  <c:v>Joint 0 degrees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'Sheet2 (2)'!$AE$5:$AE$25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(2)'!$AF$5:$AF$25</c:f>
              <c:numCache>
                <c:formatCode>General</c:formatCode>
                <c:ptCount val="21"/>
                <c:pt idx="0">
                  <c:v>0</c:v>
                </c:pt>
                <c:pt idx="1">
                  <c:v>2.1462148999999999</c:v>
                </c:pt>
                <c:pt idx="2">
                  <c:v>7.3386777999999993</c:v>
                </c:pt>
                <c:pt idx="3">
                  <c:v>15.5773887</c:v>
                </c:pt>
                <c:pt idx="4">
                  <c:v>26.862347599999996</c:v>
                </c:pt>
                <c:pt idx="5">
                  <c:v>41.193554499999998</c:v>
                </c:pt>
                <c:pt idx="6">
                  <c:v>58.571009399999994</c:v>
                </c:pt>
                <c:pt idx="7">
                  <c:v>78.994712299999989</c:v>
                </c:pt>
                <c:pt idx="8">
                  <c:v>102.46466319999999</c:v>
                </c:pt>
                <c:pt idx="9">
                  <c:v>128.9808621</c:v>
                </c:pt>
                <c:pt idx="10">
                  <c:v>158.54330899999999</c:v>
                </c:pt>
                <c:pt idx="11">
                  <c:v>191.15200389999998</c:v>
                </c:pt>
                <c:pt idx="12">
                  <c:v>226.80694679999999</c:v>
                </c:pt>
                <c:pt idx="13">
                  <c:v>265.50813770000002</c:v>
                </c:pt>
                <c:pt idx="14">
                  <c:v>307.25557659999998</c:v>
                </c:pt>
                <c:pt idx="15">
                  <c:v>352.04926349999994</c:v>
                </c:pt>
                <c:pt idx="16">
                  <c:v>399.8891984</c:v>
                </c:pt>
                <c:pt idx="17">
                  <c:v>450.77538129999994</c:v>
                </c:pt>
                <c:pt idx="18">
                  <c:v>504.70781219999998</c:v>
                </c:pt>
                <c:pt idx="19">
                  <c:v>561.6864910999999</c:v>
                </c:pt>
                <c:pt idx="20">
                  <c:v>621.71141799999998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'Sheet2 (2)'!$AH$3</c:f>
              <c:strCache>
                <c:ptCount val="1"/>
                <c:pt idx="0">
                  <c:v>Joint 45 degrees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'Sheet2 (2)'!$AH$5:$AH$25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(2)'!$AI$5:$AI$25</c:f>
              <c:numCache>
                <c:formatCode>General</c:formatCode>
                <c:ptCount val="21"/>
                <c:pt idx="0">
                  <c:v>0</c:v>
                </c:pt>
                <c:pt idx="1">
                  <c:v>1.8618355000000002</c:v>
                </c:pt>
                <c:pt idx="2">
                  <c:v>6.7856550000000002</c:v>
                </c:pt>
                <c:pt idx="3">
                  <c:v>14.7714585</c:v>
                </c:pt>
                <c:pt idx="4">
                  <c:v>25.819246000000003</c:v>
                </c:pt>
                <c:pt idx="5">
                  <c:v>39.9290175</c:v>
                </c:pt>
                <c:pt idx="6">
                  <c:v>57.100773000000004</c:v>
                </c:pt>
                <c:pt idx="7">
                  <c:v>77.334512500000002</c:v>
                </c:pt>
                <c:pt idx="8">
                  <c:v>100.630236</c:v>
                </c:pt>
                <c:pt idx="9">
                  <c:v>126.98794350000003</c:v>
                </c:pt>
                <c:pt idx="10">
                  <c:v>156.40763500000003</c:v>
                </c:pt>
                <c:pt idx="11">
                  <c:v>188.88931050000002</c:v>
                </c:pt>
                <c:pt idx="12">
                  <c:v>224.43297000000001</c:v>
                </c:pt>
                <c:pt idx="13">
                  <c:v>263.0386135</c:v>
                </c:pt>
                <c:pt idx="14">
                  <c:v>304.70624100000003</c:v>
                </c:pt>
                <c:pt idx="15">
                  <c:v>349.43585250000007</c:v>
                </c:pt>
                <c:pt idx="16">
                  <c:v>397.22744800000004</c:v>
                </c:pt>
                <c:pt idx="17">
                  <c:v>448.0810275</c:v>
                </c:pt>
                <c:pt idx="18">
                  <c:v>501.99659100000008</c:v>
                </c:pt>
                <c:pt idx="19">
                  <c:v>558.97413850000009</c:v>
                </c:pt>
                <c:pt idx="20">
                  <c:v>619.01367000000005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'Sheet2 (2)'!$AK$3</c:f>
              <c:strCache>
                <c:ptCount val="1"/>
                <c:pt idx="0">
                  <c:v>Joint  90 degrees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'Sheet2 (2)'!$AK$5:$AK$25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(2)'!$AL$5:$AL$25</c:f>
              <c:numCache>
                <c:formatCode>General</c:formatCode>
                <c:ptCount val="21"/>
                <c:pt idx="0">
                  <c:v>0</c:v>
                </c:pt>
                <c:pt idx="1">
                  <c:v>1.7095278</c:v>
                </c:pt>
                <c:pt idx="2">
                  <c:v>7.2654376000000012</c:v>
                </c:pt>
                <c:pt idx="3">
                  <c:v>16.667729399999999</c:v>
                </c:pt>
                <c:pt idx="4">
                  <c:v>29.916403199999998</c:v>
                </c:pt>
                <c:pt idx="5">
                  <c:v>47.011459000000002</c:v>
                </c:pt>
                <c:pt idx="6">
                  <c:v>67.952896799999991</c:v>
                </c:pt>
                <c:pt idx="7">
                  <c:v>92.740716599999999</c:v>
                </c:pt>
                <c:pt idx="8">
                  <c:v>121.37491840000001</c:v>
                </c:pt>
                <c:pt idx="9">
                  <c:v>153.85550219999999</c:v>
                </c:pt>
                <c:pt idx="10">
                  <c:v>190.182468</c:v>
                </c:pt>
                <c:pt idx="11">
                  <c:v>230.35581579999996</c:v>
                </c:pt>
                <c:pt idx="12">
                  <c:v>274.37554560000001</c:v>
                </c:pt>
                <c:pt idx="13">
                  <c:v>322.24165740000001</c:v>
                </c:pt>
                <c:pt idx="14">
                  <c:v>373.95415120000001</c:v>
                </c:pt>
                <c:pt idx="15">
                  <c:v>429.51302699999997</c:v>
                </c:pt>
                <c:pt idx="16">
                  <c:v>488.91828480000004</c:v>
                </c:pt>
                <c:pt idx="17">
                  <c:v>552.16992459999994</c:v>
                </c:pt>
                <c:pt idx="18">
                  <c:v>619.26794640000003</c:v>
                </c:pt>
                <c:pt idx="19">
                  <c:v>690.21235019999995</c:v>
                </c:pt>
                <c:pt idx="20">
                  <c:v>765.00313600000004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'Sheet2 (2)'!$AN$3</c:f>
              <c:strCache>
                <c:ptCount val="1"/>
                <c:pt idx="0">
                  <c:v>Joint 135 degrees 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'Sheet2 (2)'!$AN$5:$AN$25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(2)'!$AO$5:$AO$25</c:f>
              <c:numCache>
                <c:formatCode>General</c:formatCode>
                <c:ptCount val="21"/>
                <c:pt idx="0">
                  <c:v>0</c:v>
                </c:pt>
                <c:pt idx="1">
                  <c:v>3.8234238999999999</c:v>
                </c:pt>
                <c:pt idx="2">
                  <c:v>12.087633800000003</c:v>
                </c:pt>
                <c:pt idx="3">
                  <c:v>24.792629699999999</c:v>
                </c:pt>
                <c:pt idx="4">
                  <c:v>41.938411600000002</c:v>
                </c:pt>
                <c:pt idx="5">
                  <c:v>63.524979499999993</c:v>
                </c:pt>
                <c:pt idx="6">
                  <c:v>89.552333400000009</c:v>
                </c:pt>
                <c:pt idx="7">
                  <c:v>120.02047330000001</c:v>
                </c:pt>
                <c:pt idx="8">
                  <c:v>154.92939920000001</c:v>
                </c:pt>
                <c:pt idx="9">
                  <c:v>194.27911109999999</c:v>
                </c:pt>
                <c:pt idx="10">
                  <c:v>238.06960899999999</c:v>
                </c:pt>
                <c:pt idx="11">
                  <c:v>286.30089290000001</c:v>
                </c:pt>
                <c:pt idx="12">
                  <c:v>338.9729628</c:v>
                </c:pt>
                <c:pt idx="13">
                  <c:v>396.0858187</c:v>
                </c:pt>
                <c:pt idx="14">
                  <c:v>457.63946059999995</c:v>
                </c:pt>
                <c:pt idx="15">
                  <c:v>523.63388850000001</c:v>
                </c:pt>
                <c:pt idx="16">
                  <c:v>594.06910240000002</c:v>
                </c:pt>
                <c:pt idx="17">
                  <c:v>668.94510230000003</c:v>
                </c:pt>
                <c:pt idx="18">
                  <c:v>748.26188819999993</c:v>
                </c:pt>
                <c:pt idx="19">
                  <c:v>832.01946009999995</c:v>
                </c:pt>
                <c:pt idx="20">
                  <c:v>920.21781799999997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'Sheet2 (2)'!$AQ$3</c:f>
              <c:strCache>
                <c:ptCount val="1"/>
                <c:pt idx="0">
                  <c:v>Joint 165 degrees 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'Sheet2 (2)'!$AQ$5:$AQ$25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(2)'!$AR$5:$AR$25</c:f>
              <c:numCache>
                <c:formatCode>General</c:formatCode>
                <c:ptCount val="21"/>
                <c:pt idx="0">
                  <c:v>0</c:v>
                </c:pt>
                <c:pt idx="1">
                  <c:v>2.7850134000000004</c:v>
                </c:pt>
                <c:pt idx="2">
                  <c:v>10.626310800000001</c:v>
                </c:pt>
                <c:pt idx="3">
                  <c:v>23.523892200000002</c:v>
                </c:pt>
                <c:pt idx="4">
                  <c:v>41.477757600000004</c:v>
                </c:pt>
                <c:pt idx="5">
                  <c:v>64.487907000000007</c:v>
                </c:pt>
                <c:pt idx="6">
                  <c:v>92.554340400000001</c:v>
                </c:pt>
                <c:pt idx="7">
                  <c:v>125.67705780000001</c:v>
                </c:pt>
                <c:pt idx="8">
                  <c:v>163.85605920000003</c:v>
                </c:pt>
                <c:pt idx="9">
                  <c:v>207.09134460000001</c:v>
                </c:pt>
                <c:pt idx="10">
                  <c:v>255.38291400000006</c:v>
                </c:pt>
                <c:pt idx="11">
                  <c:v>308.73076740000005</c:v>
                </c:pt>
                <c:pt idx="12">
                  <c:v>367.13490480000002</c:v>
                </c:pt>
                <c:pt idx="13">
                  <c:v>430.59532620000004</c:v>
                </c:pt>
                <c:pt idx="14">
                  <c:v>499.11203159999997</c:v>
                </c:pt>
                <c:pt idx="15">
                  <c:v>572.68502100000001</c:v>
                </c:pt>
                <c:pt idx="16">
                  <c:v>651.31429439999999</c:v>
                </c:pt>
                <c:pt idx="17">
                  <c:v>734.9998518000001</c:v>
                </c:pt>
                <c:pt idx="18">
                  <c:v>823.74169319999999</c:v>
                </c:pt>
                <c:pt idx="19">
                  <c:v>917.53981859999999</c:v>
                </c:pt>
                <c:pt idx="20">
                  <c:v>1016.3942280000001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20000"/>
        <c:axId val="449625488"/>
      </c:scatterChart>
      <c:valAx>
        <c:axId val="44962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</a:t>
                </a:r>
                <a:r>
                  <a:rPr lang="en-US" sz="1400"/>
                  <a:t>Flow</a:t>
                </a:r>
                <a:r>
                  <a:rPr lang="en-US" sz="1400" baseline="0"/>
                  <a:t> rate [m^3/h]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3973965944281701"/>
              <c:y val="0.835190279463280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9625488"/>
        <c:crosses val="autoZero"/>
        <c:crossBetween val="midCat"/>
        <c:majorUnit val="10"/>
      </c:valAx>
      <c:valAx>
        <c:axId val="449625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loss[Pa/m]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9620000"/>
        <c:crosses val="autoZero"/>
        <c:crossBetween val="midCat"/>
        <c:majorUnit val="50"/>
      </c:valAx>
    </c:plotArea>
    <c:legend>
      <c:legendPos val="b"/>
      <c:layout>
        <c:manualLayout>
          <c:xMode val="edge"/>
          <c:yMode val="edge"/>
          <c:x val="0.18492421080868682"/>
          <c:y val="0.88718002205082924"/>
          <c:w val="0.75060803553401978"/>
          <c:h val="0.1125414475195483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'Sheet2 (2)'!$AX$2</c:f>
          <c:strCache>
            <c:ptCount val="1"/>
            <c:pt idx="0">
              <c:v>Permavent 13 Marts 2013                                                                                                                                0 stk  ligeud + 2 stk 45grader  + 1 stk 90grader  + 0 stk 135grader  + 0 stk 165grader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7217544094483"/>
          <c:y val="0.21447354592192991"/>
          <c:w val="0.75522872829529619"/>
          <c:h val="0.60479524195592416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'Sheet2 (2)'!$AZ$5:$AZ$25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'Sheet2 (2)'!$BA$5:$BA$25</c:f>
              <c:numCache>
                <c:formatCode>General</c:formatCode>
                <c:ptCount val="21"/>
                <c:pt idx="0">
                  <c:v>0</c:v>
                </c:pt>
                <c:pt idx="1">
                  <c:v>11.214758160000001</c:v>
                </c:pt>
                <c:pt idx="2">
                  <c:v>39.437905919999999</c:v>
                </c:pt>
                <c:pt idx="3">
                  <c:v>84.669443279999996</c:v>
                </c:pt>
                <c:pt idx="4">
                  <c:v>146.90937023999999</c:v>
                </c:pt>
                <c:pt idx="5">
                  <c:v>226.15768679999999</c:v>
                </c:pt>
                <c:pt idx="6">
                  <c:v>322.41439295999999</c:v>
                </c:pt>
                <c:pt idx="7">
                  <c:v>435.67948871999999</c:v>
                </c:pt>
                <c:pt idx="8">
                  <c:v>565.95297407999999</c:v>
                </c:pt>
                <c:pt idx="9">
                  <c:v>713.23484904000009</c:v>
                </c:pt>
                <c:pt idx="10">
                  <c:v>877.52511360000005</c:v>
                </c:pt>
                <c:pt idx="11">
                  <c:v>1058.82376776</c:v>
                </c:pt>
                <c:pt idx="12">
                  <c:v>1257.13081152</c:v>
                </c:pt>
                <c:pt idx="13">
                  <c:v>1472.44624488</c:v>
                </c:pt>
                <c:pt idx="14">
                  <c:v>1704.7700678400001</c:v>
                </c:pt>
                <c:pt idx="15">
                  <c:v>1954.1022804000002</c:v>
                </c:pt>
                <c:pt idx="16">
                  <c:v>2220.4428825600003</c:v>
                </c:pt>
                <c:pt idx="17">
                  <c:v>2503.7918743199998</c:v>
                </c:pt>
                <c:pt idx="18">
                  <c:v>2804.1492556799999</c:v>
                </c:pt>
                <c:pt idx="19">
                  <c:v>3121.5150266400001</c:v>
                </c:pt>
                <c:pt idx="20">
                  <c:v>3455.8891872000004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21176"/>
        <c:axId val="449624312"/>
      </c:scatterChart>
      <c:valAx>
        <c:axId val="44962117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=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9624312"/>
        <c:crosses val="autoZero"/>
        <c:crossBetween val="midCat"/>
      </c:valAx>
      <c:valAx>
        <c:axId val="44962431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4496211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showing pressure losses vs flow rates at different angles</a:t>
            </a:r>
            <a:endParaRPr lang="en-US"/>
          </a:p>
        </c:rich>
      </c:tx>
      <c:layout>
        <c:manualLayout>
          <c:xMode val="edge"/>
          <c:yMode val="edge"/>
          <c:x val="0.24552951233861675"/>
          <c:y val="3.4139404089981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89925543928675E-2"/>
          <c:y val="0.10838911340101985"/>
          <c:w val="0.91931644042735416"/>
          <c:h val="0.689158709654179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Total 0 degrees 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Sheet2!$A$5:$A$25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Sheet2!$B$5:$B$25</c:f>
              <c:numCache>
                <c:formatCode>General</c:formatCode>
                <c:ptCount val="21"/>
                <c:pt idx="0">
                  <c:v>0</c:v>
                </c:pt>
                <c:pt idx="1">
                  <c:v>2.9735090999999998</c:v>
                </c:pt>
                <c:pt idx="2">
                  <c:v>9.5185681999999989</c:v>
                </c:pt>
                <c:pt idx="3">
                  <c:v>19.635177299999999</c:v>
                </c:pt>
                <c:pt idx="4">
                  <c:v>33.323336399999995</c:v>
                </c:pt>
                <c:pt idx="5">
                  <c:v>50.583045499999997</c:v>
                </c:pt>
                <c:pt idx="6">
                  <c:v>71.414304599999994</c:v>
                </c:pt>
                <c:pt idx="7">
                  <c:v>95.817113699999993</c:v>
                </c:pt>
                <c:pt idx="8">
                  <c:v>123.79147279999999</c:v>
                </c:pt>
                <c:pt idx="9">
                  <c:v>155.3373819</c:v>
                </c:pt>
                <c:pt idx="10">
                  <c:v>190.45484099999999</c:v>
                </c:pt>
                <c:pt idx="11">
                  <c:v>229.14385009999998</c:v>
                </c:pt>
                <c:pt idx="12">
                  <c:v>271.40440919999998</c:v>
                </c:pt>
                <c:pt idx="13">
                  <c:v>317.2365183</c:v>
                </c:pt>
                <c:pt idx="14">
                  <c:v>366.64017739999997</c:v>
                </c:pt>
                <c:pt idx="15">
                  <c:v>419.61538649999994</c:v>
                </c:pt>
                <c:pt idx="16">
                  <c:v>476.16214559999997</c:v>
                </c:pt>
                <c:pt idx="17">
                  <c:v>536.28045469999995</c:v>
                </c:pt>
                <c:pt idx="18">
                  <c:v>599.97031379999999</c:v>
                </c:pt>
                <c:pt idx="19">
                  <c:v>667.23172289999991</c:v>
                </c:pt>
                <c:pt idx="20">
                  <c:v>738.06468199999995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Total 45 degrees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Sheet2!$D$5:$D$25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Sheet2!$E$5:$E$25</c:f>
              <c:numCache>
                <c:formatCode>General</c:formatCode>
                <c:ptCount val="21"/>
                <c:pt idx="0">
                  <c:v>0</c:v>
                </c:pt>
                <c:pt idx="1">
                  <c:v>2.6858208000000001</c:v>
                </c:pt>
                <c:pt idx="2">
                  <c:v>8.9596836</c:v>
                </c:pt>
                <c:pt idx="3">
                  <c:v>18.8215884</c:v>
                </c:pt>
                <c:pt idx="4">
                  <c:v>32.271535200000002</c:v>
                </c:pt>
                <c:pt idx="5">
                  <c:v>49.309524000000003</c:v>
                </c:pt>
                <c:pt idx="6">
                  <c:v>69.935554800000006</c:v>
                </c:pt>
                <c:pt idx="7">
                  <c:v>94.149627600000002</c:v>
                </c:pt>
                <c:pt idx="8">
                  <c:v>121.9517424</c:v>
                </c:pt>
                <c:pt idx="9">
                  <c:v>153.34189920000003</c:v>
                </c:pt>
                <c:pt idx="10">
                  <c:v>188.32009800000003</c:v>
                </c:pt>
                <c:pt idx="11">
                  <c:v>226.88633880000003</c:v>
                </c:pt>
                <c:pt idx="12">
                  <c:v>269.04062160000001</c:v>
                </c:pt>
                <c:pt idx="13">
                  <c:v>314.78294640000001</c:v>
                </c:pt>
                <c:pt idx="14">
                  <c:v>364.11331320000005</c:v>
                </c:pt>
                <c:pt idx="15">
                  <c:v>417.03172200000006</c:v>
                </c:pt>
                <c:pt idx="16">
                  <c:v>473.53817280000004</c:v>
                </c:pt>
                <c:pt idx="17">
                  <c:v>533.6326656</c:v>
                </c:pt>
                <c:pt idx="18">
                  <c:v>597.31520040000009</c:v>
                </c:pt>
                <c:pt idx="19">
                  <c:v>664.58577720000005</c:v>
                </c:pt>
                <c:pt idx="20">
                  <c:v>735.4443960000001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Sheet2!$G$3</c:f>
              <c:strCache>
                <c:ptCount val="1"/>
                <c:pt idx="0">
                  <c:v>Total 90 degrees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Sheet2!$G$5:$G$25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Sheet2!$H$5:$H$25</c:f>
              <c:numCache>
                <c:formatCode>General</c:formatCode>
                <c:ptCount val="21"/>
                <c:pt idx="0">
                  <c:v>0</c:v>
                </c:pt>
                <c:pt idx="1">
                  <c:v>2.5284513</c:v>
                </c:pt>
                <c:pt idx="2">
                  <c:v>9.430760600000001</c:v>
                </c:pt>
                <c:pt idx="3">
                  <c:v>20.7069279</c:v>
                </c:pt>
                <c:pt idx="4">
                  <c:v>36.3569532</c:v>
                </c:pt>
                <c:pt idx="5">
                  <c:v>56.380836500000001</c:v>
                </c:pt>
                <c:pt idx="6">
                  <c:v>80.778577799999994</c:v>
                </c:pt>
                <c:pt idx="7">
                  <c:v>109.5501771</c:v>
                </c:pt>
                <c:pt idx="8">
                  <c:v>142.69563440000002</c:v>
                </c:pt>
                <c:pt idx="9">
                  <c:v>180.21494969999998</c:v>
                </c:pt>
                <c:pt idx="10">
                  <c:v>222.10812300000001</c:v>
                </c:pt>
                <c:pt idx="11">
                  <c:v>268.37515429999996</c:v>
                </c:pt>
                <c:pt idx="12">
                  <c:v>319.01604359999999</c:v>
                </c:pt>
                <c:pt idx="13">
                  <c:v>374.0307909</c:v>
                </c:pt>
                <c:pt idx="14">
                  <c:v>433.41939619999999</c:v>
                </c:pt>
                <c:pt idx="15">
                  <c:v>497.18185949999997</c:v>
                </c:pt>
                <c:pt idx="16">
                  <c:v>565.31818080000005</c:v>
                </c:pt>
                <c:pt idx="17">
                  <c:v>637.82836009999994</c:v>
                </c:pt>
                <c:pt idx="18">
                  <c:v>714.71239739999999</c:v>
                </c:pt>
                <c:pt idx="19">
                  <c:v>795.97029269999996</c:v>
                </c:pt>
                <c:pt idx="20">
                  <c:v>881.60204600000009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Sheet2!$J$3</c:f>
              <c:strCache>
                <c:ptCount val="1"/>
                <c:pt idx="0">
                  <c:v>Total 135 degrees </c:v>
                </c:pt>
              </c:strCache>
            </c:strRef>
          </c:tx>
          <c:spPr>
            <a:ln w="19050" cmpd="sng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Sheet2!$J$5:$J$25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Sheet2!$K$5:$K$25</c:f>
              <c:numCache>
                <c:formatCode>General</c:formatCode>
                <c:ptCount val="21"/>
                <c:pt idx="0">
                  <c:v>0</c:v>
                </c:pt>
                <c:pt idx="1">
                  <c:v>4.6576000999999998</c:v>
                </c:pt>
                <c:pt idx="2">
                  <c:v>14.279670200000002</c:v>
                </c:pt>
                <c:pt idx="3">
                  <c:v>28.866210299999999</c:v>
                </c:pt>
                <c:pt idx="4">
                  <c:v>48.417220400000005</c:v>
                </c:pt>
                <c:pt idx="5">
                  <c:v>72.932700499999996</c:v>
                </c:pt>
                <c:pt idx="6">
                  <c:v>102.41265060000001</c:v>
                </c:pt>
                <c:pt idx="7">
                  <c:v>136.85707070000001</c:v>
                </c:pt>
                <c:pt idx="8">
                  <c:v>176.26596080000002</c:v>
                </c:pt>
                <c:pt idx="9">
                  <c:v>220.6393209</c:v>
                </c:pt>
                <c:pt idx="10">
                  <c:v>269.97715099999999</c:v>
                </c:pt>
                <c:pt idx="11">
                  <c:v>324.27945110000002</c:v>
                </c:pt>
                <c:pt idx="12">
                  <c:v>383.54622119999999</c:v>
                </c:pt>
                <c:pt idx="13">
                  <c:v>447.77746130000003</c:v>
                </c:pt>
                <c:pt idx="14">
                  <c:v>516.97317139999996</c:v>
                </c:pt>
                <c:pt idx="15">
                  <c:v>591.1333515</c:v>
                </c:pt>
                <c:pt idx="16">
                  <c:v>670.25800160000006</c:v>
                </c:pt>
                <c:pt idx="17">
                  <c:v>754.3471217</c:v>
                </c:pt>
                <c:pt idx="18">
                  <c:v>843.40071179999995</c:v>
                </c:pt>
                <c:pt idx="19">
                  <c:v>937.41877189999991</c:v>
                </c:pt>
                <c:pt idx="20">
                  <c:v>1036.401302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Sheet2!$M$3</c:f>
              <c:strCache>
                <c:ptCount val="1"/>
                <c:pt idx="0">
                  <c:v>Total 165 degrees 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Sheet2!$M$5:$M$25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Sheet2!$N$5:$N$25</c:f>
              <c:numCache>
                <c:formatCode>General</c:formatCode>
                <c:ptCount val="21"/>
                <c:pt idx="0">
                  <c:v>0</c:v>
                </c:pt>
                <c:pt idx="1">
                  <c:v>3.6139861000000004</c:v>
                </c:pt>
                <c:pt idx="2">
                  <c:v>12.809310200000001</c:v>
                </c:pt>
                <c:pt idx="3">
                  <c:v>27.585972300000002</c:v>
                </c:pt>
                <c:pt idx="4">
                  <c:v>47.943972400000007</c:v>
                </c:pt>
                <c:pt idx="5">
                  <c:v>73.883310500000007</c:v>
                </c:pt>
                <c:pt idx="6">
                  <c:v>105.4039866</c:v>
                </c:pt>
                <c:pt idx="7">
                  <c:v>142.50600070000002</c:v>
                </c:pt>
                <c:pt idx="8">
                  <c:v>185.18935280000002</c:v>
                </c:pt>
                <c:pt idx="9">
                  <c:v>233.45404290000002</c:v>
                </c:pt>
                <c:pt idx="10">
                  <c:v>287.30007100000006</c:v>
                </c:pt>
                <c:pt idx="11">
                  <c:v>346.72743710000003</c:v>
                </c:pt>
                <c:pt idx="12">
                  <c:v>411.73614120000002</c:v>
                </c:pt>
                <c:pt idx="13">
                  <c:v>482.32618330000003</c:v>
                </c:pt>
                <c:pt idx="14">
                  <c:v>558.49756339999999</c:v>
                </c:pt>
                <c:pt idx="15">
                  <c:v>640.25028150000003</c:v>
                </c:pt>
                <c:pt idx="16">
                  <c:v>727.58433760000003</c:v>
                </c:pt>
                <c:pt idx="17">
                  <c:v>820.4997317000001</c:v>
                </c:pt>
                <c:pt idx="18">
                  <c:v>918.99646380000001</c:v>
                </c:pt>
                <c:pt idx="19">
                  <c:v>1023.0745339</c:v>
                </c:pt>
                <c:pt idx="20">
                  <c:v>1132.7339420000001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Sheet2!$P$3</c:f>
              <c:strCache>
                <c:ptCount val="1"/>
                <c:pt idx="0">
                  <c:v>Pipe 0 degrees 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lgDashDotDot"/>
            </a:ln>
          </c:spPr>
          <c:marker>
            <c:symbol val="none"/>
          </c:marker>
          <c:xVal>
            <c:numRef>
              <c:f>Sheet2!$P$5:$P$25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Sheet2!$Q$5:$Q$25</c:f>
              <c:numCache>
                <c:formatCode>General</c:formatCode>
                <c:ptCount val="21"/>
                <c:pt idx="0">
                  <c:v>0</c:v>
                </c:pt>
                <c:pt idx="1">
                  <c:v>0.82729419999999998</c:v>
                </c:pt>
                <c:pt idx="2">
                  <c:v>2.1798903999999997</c:v>
                </c:pt>
                <c:pt idx="3">
                  <c:v>4.0577885999999994</c:v>
                </c:pt>
                <c:pt idx="4">
                  <c:v>6.4609887999999991</c:v>
                </c:pt>
                <c:pt idx="5">
                  <c:v>9.3894909999999996</c:v>
                </c:pt>
                <c:pt idx="6">
                  <c:v>12.843295199999998</c:v>
                </c:pt>
                <c:pt idx="7">
                  <c:v>16.8224014</c:v>
                </c:pt>
                <c:pt idx="8">
                  <c:v>21.326809599999997</c:v>
                </c:pt>
                <c:pt idx="9">
                  <c:v>26.356519800000001</c:v>
                </c:pt>
                <c:pt idx="10">
                  <c:v>31.911532000000001</c:v>
                </c:pt>
                <c:pt idx="11">
                  <c:v>37.991846199999998</c:v>
                </c:pt>
                <c:pt idx="12">
                  <c:v>44.597462399999998</c:v>
                </c:pt>
                <c:pt idx="13">
                  <c:v>51.728380600000001</c:v>
                </c:pt>
                <c:pt idx="14">
                  <c:v>59.384600800000001</c:v>
                </c:pt>
                <c:pt idx="15">
                  <c:v>67.566123000000005</c:v>
                </c:pt>
                <c:pt idx="16">
                  <c:v>76.27294719999999</c:v>
                </c:pt>
                <c:pt idx="17">
                  <c:v>85.505073400000001</c:v>
                </c:pt>
                <c:pt idx="18">
                  <c:v>95.262501599999993</c:v>
                </c:pt>
                <c:pt idx="19">
                  <c:v>105.5452318</c:v>
                </c:pt>
                <c:pt idx="20">
                  <c:v>116.353264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Sheet2!$S$3</c:f>
              <c:strCache>
                <c:ptCount val="1"/>
                <c:pt idx="0">
                  <c:v>Pipe 45 degrees 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Sheet2!$S$5:$S$25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Sheet2!$T$5:$T$25</c:f>
              <c:numCache>
                <c:formatCode>General</c:formatCode>
                <c:ptCount val="21"/>
                <c:pt idx="0">
                  <c:v>0</c:v>
                </c:pt>
                <c:pt idx="1">
                  <c:v>0.82398529999999992</c:v>
                </c:pt>
                <c:pt idx="2">
                  <c:v>2.1740285999999998</c:v>
                </c:pt>
                <c:pt idx="3">
                  <c:v>4.0501298999999999</c:v>
                </c:pt>
                <c:pt idx="4">
                  <c:v>6.4522892000000001</c:v>
                </c:pt>
                <c:pt idx="5">
                  <c:v>9.3805064999999992</c:v>
                </c:pt>
                <c:pt idx="6">
                  <c:v>12.8347818</c:v>
                </c:pt>
                <c:pt idx="7">
                  <c:v>16.8151151</c:v>
                </c:pt>
                <c:pt idx="8">
                  <c:v>21.321506400000001</c:v>
                </c:pt>
                <c:pt idx="9">
                  <c:v>26.3539557</c:v>
                </c:pt>
                <c:pt idx="10">
                  <c:v>31.912463000000002</c:v>
                </c:pt>
                <c:pt idx="11">
                  <c:v>37.997028299999997</c:v>
                </c:pt>
                <c:pt idx="12">
                  <c:v>44.607651600000004</c:v>
                </c:pt>
                <c:pt idx="13">
                  <c:v>51.744332900000003</c:v>
                </c:pt>
                <c:pt idx="14">
                  <c:v>59.407072199999995</c:v>
                </c:pt>
                <c:pt idx="15">
                  <c:v>67.595869500000006</c:v>
                </c:pt>
                <c:pt idx="16">
                  <c:v>76.310724800000003</c:v>
                </c:pt>
                <c:pt idx="17">
                  <c:v>85.551638100000005</c:v>
                </c:pt>
                <c:pt idx="18">
                  <c:v>95.3186094</c:v>
                </c:pt>
                <c:pt idx="19">
                  <c:v>105.6116387</c:v>
                </c:pt>
                <c:pt idx="20">
                  <c:v>116.43072600000001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Sheet2!$V$3</c:f>
              <c:strCache>
                <c:ptCount val="1"/>
                <c:pt idx="0">
                  <c:v>Pipe  90 degrees </c:v>
                </c:pt>
              </c:strCache>
            </c:strRef>
          </c:tx>
          <c:spPr>
            <a:ln w="19050" cmpd="dbl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Sheet2!$V$5:$V$25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Sheet2!$W$5:$W$25</c:f>
              <c:numCache>
                <c:formatCode>General</c:formatCode>
                <c:ptCount val="21"/>
                <c:pt idx="0">
                  <c:v>0</c:v>
                </c:pt>
                <c:pt idx="1">
                  <c:v>0.81892349999999992</c:v>
                </c:pt>
                <c:pt idx="2">
                  <c:v>2.1653229999999999</c:v>
                </c:pt>
                <c:pt idx="3">
                  <c:v>4.0391984999999995</c:v>
                </c:pt>
                <c:pt idx="4">
                  <c:v>6.44055</c:v>
                </c:pt>
                <c:pt idx="5">
                  <c:v>9.3693774999999988</c:v>
                </c:pt>
                <c:pt idx="6">
                  <c:v>12.825680999999999</c:v>
                </c:pt>
                <c:pt idx="7">
                  <c:v>16.8094605</c:v>
                </c:pt>
                <c:pt idx="8">
                  <c:v>21.320715999999997</c:v>
                </c:pt>
                <c:pt idx="9">
                  <c:v>26.359447499999998</c:v>
                </c:pt>
                <c:pt idx="10">
                  <c:v>31.925654999999999</c:v>
                </c:pt>
                <c:pt idx="11">
                  <c:v>38.019338500000003</c:v>
                </c:pt>
                <c:pt idx="12">
                  <c:v>44.640497999999994</c:v>
                </c:pt>
                <c:pt idx="13">
                  <c:v>51.789133499999998</c:v>
                </c:pt>
                <c:pt idx="14">
                  <c:v>59.465244999999996</c:v>
                </c:pt>
                <c:pt idx="15">
                  <c:v>67.668832499999994</c:v>
                </c:pt>
                <c:pt idx="16">
                  <c:v>76.399895999999998</c:v>
                </c:pt>
                <c:pt idx="17">
                  <c:v>85.658435499999996</c:v>
                </c:pt>
                <c:pt idx="18">
                  <c:v>95.444451000000001</c:v>
                </c:pt>
                <c:pt idx="19">
                  <c:v>105.7579425</c:v>
                </c:pt>
                <c:pt idx="20">
                  <c:v>116.59890999999999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Sheet2!$Y$3</c:f>
              <c:strCache>
                <c:ptCount val="1"/>
                <c:pt idx="0">
                  <c:v>Pipe 135 degrees </c:v>
                </c:pt>
              </c:strCache>
            </c:strRef>
          </c:tx>
          <c:spPr>
            <a:ln w="19050" cmpd="dbl">
              <a:solidFill>
                <a:srgbClr val="7030A0"/>
              </a:solidFill>
              <a:prstDash val="lgDashDotDot"/>
            </a:ln>
          </c:spPr>
          <c:marker>
            <c:symbol val="none"/>
          </c:marker>
          <c:xVal>
            <c:numRef>
              <c:f>Sheet2!$Y$5:$Y$25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Sheet2!$Z$5:$Z$25</c:f>
              <c:numCache>
                <c:formatCode>General</c:formatCode>
                <c:ptCount val="21"/>
                <c:pt idx="0">
                  <c:v>0</c:v>
                </c:pt>
                <c:pt idx="1">
                  <c:v>0.83417620000000003</c:v>
                </c:pt>
                <c:pt idx="2">
                  <c:v>2.1920364000000001</c:v>
                </c:pt>
                <c:pt idx="3">
                  <c:v>4.0735806000000006</c:v>
                </c:pt>
                <c:pt idx="4">
                  <c:v>6.4788088000000004</c:v>
                </c:pt>
                <c:pt idx="5">
                  <c:v>9.4077210000000004</c:v>
                </c:pt>
                <c:pt idx="6">
                  <c:v>12.860317200000001</c:v>
                </c:pt>
                <c:pt idx="7">
                  <c:v>16.836597400000002</c:v>
                </c:pt>
                <c:pt idx="8">
                  <c:v>21.336561600000003</c:v>
                </c:pt>
                <c:pt idx="9">
                  <c:v>26.3602098</c:v>
                </c:pt>
                <c:pt idx="10">
                  <c:v>31.907541999999999</c:v>
                </c:pt>
                <c:pt idx="11">
                  <c:v>37.978558200000002</c:v>
                </c:pt>
                <c:pt idx="12">
                  <c:v>44.573258400000007</c:v>
                </c:pt>
                <c:pt idx="13">
                  <c:v>51.691642600000009</c:v>
                </c:pt>
                <c:pt idx="14">
                  <c:v>59.333710800000006</c:v>
                </c:pt>
                <c:pt idx="15">
                  <c:v>67.499463000000006</c:v>
                </c:pt>
                <c:pt idx="16">
                  <c:v>76.188899200000009</c:v>
                </c:pt>
                <c:pt idx="17">
                  <c:v>85.402019400000015</c:v>
                </c:pt>
                <c:pt idx="18">
                  <c:v>95.138823600000009</c:v>
                </c:pt>
                <c:pt idx="19">
                  <c:v>105.39931180000001</c:v>
                </c:pt>
                <c:pt idx="20">
                  <c:v>116.18348400000001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Sheet2!$AB$3</c:f>
              <c:strCache>
                <c:ptCount val="1"/>
                <c:pt idx="0">
                  <c:v>Pipe 165 degrees </c:v>
                </c:pt>
              </c:strCache>
            </c:strRef>
          </c:tx>
          <c:spPr>
            <a:ln w="19050" cmpd="dbl">
              <a:solidFill>
                <a:srgbClr val="FFC000"/>
              </a:solidFill>
              <a:prstDash val="lgDashDotDot"/>
            </a:ln>
          </c:spPr>
          <c:marker>
            <c:symbol val="none"/>
          </c:marker>
          <c:xVal>
            <c:numRef>
              <c:f>Sheet2!$AB$5:$AB$25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Sheet2!$AC$5:$AC$25</c:f>
              <c:numCache>
                <c:formatCode>General</c:formatCode>
                <c:ptCount val="21"/>
                <c:pt idx="0">
                  <c:v>0</c:v>
                </c:pt>
                <c:pt idx="1">
                  <c:v>0.82897270000000001</c:v>
                </c:pt>
                <c:pt idx="2">
                  <c:v>2.1829993999999999</c:v>
                </c:pt>
                <c:pt idx="3">
                  <c:v>4.0620801000000002</c:v>
                </c:pt>
                <c:pt idx="4">
                  <c:v>6.4662147999999995</c:v>
                </c:pt>
                <c:pt idx="5">
                  <c:v>9.3954034999999987</c:v>
                </c:pt>
                <c:pt idx="6">
                  <c:v>12.8496462</c:v>
                </c:pt>
                <c:pt idx="7">
                  <c:v>16.828942900000001</c:v>
                </c:pt>
                <c:pt idx="8">
                  <c:v>21.333293600000001</c:v>
                </c:pt>
                <c:pt idx="9">
                  <c:v>26.362698299999998</c:v>
                </c:pt>
                <c:pt idx="10">
                  <c:v>31.917156999999996</c:v>
                </c:pt>
                <c:pt idx="11">
                  <c:v>37.996669699999998</c:v>
                </c:pt>
                <c:pt idx="12">
                  <c:v>44.601236399999998</c:v>
                </c:pt>
                <c:pt idx="13">
                  <c:v>51.730857099999994</c:v>
                </c:pt>
                <c:pt idx="14">
                  <c:v>59.385531800000003</c:v>
                </c:pt>
                <c:pt idx="15">
                  <c:v>67.565260499999994</c:v>
                </c:pt>
                <c:pt idx="16">
                  <c:v>76.270043200000003</c:v>
                </c:pt>
                <c:pt idx="17">
                  <c:v>85.499879899999996</c:v>
                </c:pt>
                <c:pt idx="18">
                  <c:v>95.254770600000001</c:v>
                </c:pt>
                <c:pt idx="19">
                  <c:v>105.53471529999999</c:v>
                </c:pt>
                <c:pt idx="20">
                  <c:v>116.33971399999999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Sheet2!$AE$3</c:f>
              <c:strCache>
                <c:ptCount val="1"/>
                <c:pt idx="0">
                  <c:v>Joint 0 degrees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Sheet2!$AE$5:$AE$25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Sheet2!$AF$5:$AF$25</c:f>
              <c:numCache>
                <c:formatCode>General</c:formatCode>
                <c:ptCount val="21"/>
                <c:pt idx="0">
                  <c:v>0</c:v>
                </c:pt>
                <c:pt idx="1">
                  <c:v>2.1462148999999999</c:v>
                </c:pt>
                <c:pt idx="2">
                  <c:v>7.3386777999999993</c:v>
                </c:pt>
                <c:pt idx="3">
                  <c:v>15.5773887</c:v>
                </c:pt>
                <c:pt idx="4">
                  <c:v>26.862347599999996</c:v>
                </c:pt>
                <c:pt idx="5">
                  <c:v>41.193554499999998</c:v>
                </c:pt>
                <c:pt idx="6">
                  <c:v>58.571009399999994</c:v>
                </c:pt>
                <c:pt idx="7">
                  <c:v>78.994712299999989</c:v>
                </c:pt>
                <c:pt idx="8">
                  <c:v>102.46466319999999</c:v>
                </c:pt>
                <c:pt idx="9">
                  <c:v>128.9808621</c:v>
                </c:pt>
                <c:pt idx="10">
                  <c:v>158.54330899999999</c:v>
                </c:pt>
                <c:pt idx="11">
                  <c:v>191.15200389999998</c:v>
                </c:pt>
                <c:pt idx="12">
                  <c:v>226.80694679999999</c:v>
                </c:pt>
                <c:pt idx="13">
                  <c:v>265.50813770000002</c:v>
                </c:pt>
                <c:pt idx="14">
                  <c:v>307.25557659999998</c:v>
                </c:pt>
                <c:pt idx="15">
                  <c:v>352.04926349999994</c:v>
                </c:pt>
                <c:pt idx="16">
                  <c:v>399.8891984</c:v>
                </c:pt>
                <c:pt idx="17">
                  <c:v>450.77538129999994</c:v>
                </c:pt>
                <c:pt idx="18">
                  <c:v>504.70781219999998</c:v>
                </c:pt>
                <c:pt idx="19">
                  <c:v>561.6864910999999</c:v>
                </c:pt>
                <c:pt idx="20">
                  <c:v>621.71141799999998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Sheet2!$AH$3</c:f>
              <c:strCache>
                <c:ptCount val="1"/>
                <c:pt idx="0">
                  <c:v>Joint 45 degrees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Sheet2!$AH$5:$AH$25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Sheet2!$AI$5:$AI$25</c:f>
              <c:numCache>
                <c:formatCode>General</c:formatCode>
                <c:ptCount val="21"/>
                <c:pt idx="0">
                  <c:v>0</c:v>
                </c:pt>
                <c:pt idx="1">
                  <c:v>1.8618355000000002</c:v>
                </c:pt>
                <c:pt idx="2">
                  <c:v>6.7856550000000002</c:v>
                </c:pt>
                <c:pt idx="3">
                  <c:v>14.7714585</c:v>
                </c:pt>
                <c:pt idx="4">
                  <c:v>25.819246000000003</c:v>
                </c:pt>
                <c:pt idx="5">
                  <c:v>39.9290175</c:v>
                </c:pt>
                <c:pt idx="6">
                  <c:v>57.100773000000004</c:v>
                </c:pt>
                <c:pt idx="7">
                  <c:v>77.334512500000002</c:v>
                </c:pt>
                <c:pt idx="8">
                  <c:v>100.630236</c:v>
                </c:pt>
                <c:pt idx="9">
                  <c:v>126.98794350000003</c:v>
                </c:pt>
                <c:pt idx="10">
                  <c:v>156.40763500000003</c:v>
                </c:pt>
                <c:pt idx="11">
                  <c:v>188.88931050000002</c:v>
                </c:pt>
                <c:pt idx="12">
                  <c:v>224.43297000000001</c:v>
                </c:pt>
                <c:pt idx="13">
                  <c:v>263.0386135</c:v>
                </c:pt>
                <c:pt idx="14">
                  <c:v>304.70624100000003</c:v>
                </c:pt>
                <c:pt idx="15">
                  <c:v>349.43585250000007</c:v>
                </c:pt>
                <c:pt idx="16">
                  <c:v>397.22744800000004</c:v>
                </c:pt>
                <c:pt idx="17">
                  <c:v>448.0810275</c:v>
                </c:pt>
                <c:pt idx="18">
                  <c:v>501.99659100000008</c:v>
                </c:pt>
                <c:pt idx="19">
                  <c:v>558.97413850000009</c:v>
                </c:pt>
                <c:pt idx="20">
                  <c:v>619.01367000000005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Sheet2!$AK$3</c:f>
              <c:strCache>
                <c:ptCount val="1"/>
                <c:pt idx="0">
                  <c:v>Joint  90 degrees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Sheet2!$AK$5:$AK$25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Sheet2!$AL$5:$AL$25</c:f>
              <c:numCache>
                <c:formatCode>General</c:formatCode>
                <c:ptCount val="21"/>
                <c:pt idx="0">
                  <c:v>0</c:v>
                </c:pt>
                <c:pt idx="1">
                  <c:v>1.7095278</c:v>
                </c:pt>
                <c:pt idx="2">
                  <c:v>7.2654376000000012</c:v>
                </c:pt>
                <c:pt idx="3">
                  <c:v>16.667729399999999</c:v>
                </c:pt>
                <c:pt idx="4">
                  <c:v>29.916403199999998</c:v>
                </c:pt>
                <c:pt idx="5">
                  <c:v>47.011459000000002</c:v>
                </c:pt>
                <c:pt idx="6">
                  <c:v>67.952896799999991</c:v>
                </c:pt>
                <c:pt idx="7">
                  <c:v>92.740716599999999</c:v>
                </c:pt>
                <c:pt idx="8">
                  <c:v>121.37491840000001</c:v>
                </c:pt>
                <c:pt idx="9">
                  <c:v>153.85550219999999</c:v>
                </c:pt>
                <c:pt idx="10">
                  <c:v>190.182468</c:v>
                </c:pt>
                <c:pt idx="11">
                  <c:v>230.35581579999996</c:v>
                </c:pt>
                <c:pt idx="12">
                  <c:v>274.37554560000001</c:v>
                </c:pt>
                <c:pt idx="13">
                  <c:v>322.24165740000001</c:v>
                </c:pt>
                <c:pt idx="14">
                  <c:v>373.95415120000001</c:v>
                </c:pt>
                <c:pt idx="15">
                  <c:v>429.51302699999997</c:v>
                </c:pt>
                <c:pt idx="16">
                  <c:v>488.91828480000004</c:v>
                </c:pt>
                <c:pt idx="17">
                  <c:v>552.16992459999994</c:v>
                </c:pt>
                <c:pt idx="18">
                  <c:v>619.26794640000003</c:v>
                </c:pt>
                <c:pt idx="19">
                  <c:v>690.21235019999995</c:v>
                </c:pt>
                <c:pt idx="20">
                  <c:v>765.00313600000004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Sheet2!$AN$3</c:f>
              <c:strCache>
                <c:ptCount val="1"/>
                <c:pt idx="0">
                  <c:v>Joint 135 degrees 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Sheet2!$AN$5:$AN$25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Sheet2!$AO$5:$AO$25</c:f>
              <c:numCache>
                <c:formatCode>General</c:formatCode>
                <c:ptCount val="21"/>
                <c:pt idx="0">
                  <c:v>0</c:v>
                </c:pt>
                <c:pt idx="1">
                  <c:v>3.8234238999999999</c:v>
                </c:pt>
                <c:pt idx="2">
                  <c:v>12.087633800000003</c:v>
                </c:pt>
                <c:pt idx="3">
                  <c:v>24.792629699999999</c:v>
                </c:pt>
                <c:pt idx="4">
                  <c:v>41.938411600000002</c:v>
                </c:pt>
                <c:pt idx="5">
                  <c:v>63.524979499999993</c:v>
                </c:pt>
                <c:pt idx="6">
                  <c:v>89.552333400000009</c:v>
                </c:pt>
                <c:pt idx="7">
                  <c:v>120.02047330000001</c:v>
                </c:pt>
                <c:pt idx="8">
                  <c:v>154.92939920000001</c:v>
                </c:pt>
                <c:pt idx="9">
                  <c:v>194.27911109999999</c:v>
                </c:pt>
                <c:pt idx="10">
                  <c:v>238.06960899999999</c:v>
                </c:pt>
                <c:pt idx="11">
                  <c:v>286.30089290000001</c:v>
                </c:pt>
                <c:pt idx="12">
                  <c:v>338.9729628</c:v>
                </c:pt>
                <c:pt idx="13">
                  <c:v>396.0858187</c:v>
                </c:pt>
                <c:pt idx="14">
                  <c:v>457.63946059999995</c:v>
                </c:pt>
                <c:pt idx="15">
                  <c:v>523.63388850000001</c:v>
                </c:pt>
                <c:pt idx="16">
                  <c:v>594.06910240000002</c:v>
                </c:pt>
                <c:pt idx="17">
                  <c:v>668.94510230000003</c:v>
                </c:pt>
                <c:pt idx="18">
                  <c:v>748.26188819999993</c:v>
                </c:pt>
                <c:pt idx="19">
                  <c:v>832.01946009999995</c:v>
                </c:pt>
                <c:pt idx="20">
                  <c:v>920.21781799999997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Sheet2!$AQ$3</c:f>
              <c:strCache>
                <c:ptCount val="1"/>
                <c:pt idx="0">
                  <c:v>Joint 165 degrees 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Sheet2!$AQ$5:$AQ$25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Sheet2!$AR$5:$AR$25</c:f>
              <c:numCache>
                <c:formatCode>General</c:formatCode>
                <c:ptCount val="21"/>
                <c:pt idx="0">
                  <c:v>0</c:v>
                </c:pt>
                <c:pt idx="1">
                  <c:v>2.7850134000000004</c:v>
                </c:pt>
                <c:pt idx="2">
                  <c:v>10.626310800000001</c:v>
                </c:pt>
                <c:pt idx="3">
                  <c:v>23.523892200000002</c:v>
                </c:pt>
                <c:pt idx="4">
                  <c:v>41.477757600000004</c:v>
                </c:pt>
                <c:pt idx="5">
                  <c:v>64.487907000000007</c:v>
                </c:pt>
                <c:pt idx="6">
                  <c:v>92.554340400000001</c:v>
                </c:pt>
                <c:pt idx="7">
                  <c:v>125.67705780000001</c:v>
                </c:pt>
                <c:pt idx="8">
                  <c:v>163.85605920000003</c:v>
                </c:pt>
                <c:pt idx="9">
                  <c:v>207.09134460000001</c:v>
                </c:pt>
                <c:pt idx="10">
                  <c:v>255.38291400000006</c:v>
                </c:pt>
                <c:pt idx="11">
                  <c:v>308.73076740000005</c:v>
                </c:pt>
                <c:pt idx="12">
                  <c:v>367.13490480000002</c:v>
                </c:pt>
                <c:pt idx="13">
                  <c:v>430.59532620000004</c:v>
                </c:pt>
                <c:pt idx="14">
                  <c:v>499.11203159999997</c:v>
                </c:pt>
                <c:pt idx="15">
                  <c:v>572.68502100000001</c:v>
                </c:pt>
                <c:pt idx="16">
                  <c:v>651.31429439999999</c:v>
                </c:pt>
                <c:pt idx="17">
                  <c:v>734.9998518000001</c:v>
                </c:pt>
                <c:pt idx="18">
                  <c:v>823.74169319999999</c:v>
                </c:pt>
                <c:pt idx="19">
                  <c:v>917.53981859999999</c:v>
                </c:pt>
                <c:pt idx="20">
                  <c:v>1016.3942280000001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21960"/>
        <c:axId val="449622352"/>
      </c:scatterChart>
      <c:valAx>
        <c:axId val="449621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</a:t>
                </a:r>
                <a:r>
                  <a:rPr lang="en-US" sz="1400"/>
                  <a:t>Flow</a:t>
                </a:r>
                <a:r>
                  <a:rPr lang="en-US" sz="1400" baseline="0"/>
                  <a:t> rate [m^3/h]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3973965944281701"/>
              <c:y val="0.835190279463280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9622352"/>
        <c:crosses val="autoZero"/>
        <c:crossBetween val="midCat"/>
        <c:majorUnit val="10"/>
      </c:valAx>
      <c:valAx>
        <c:axId val="44962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loss[Pa/m]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49621960"/>
        <c:crosses val="autoZero"/>
        <c:crossBetween val="midCat"/>
        <c:majorUnit val="50"/>
      </c:valAx>
    </c:plotArea>
    <c:legend>
      <c:legendPos val="b"/>
      <c:layout>
        <c:manualLayout>
          <c:xMode val="edge"/>
          <c:yMode val="edge"/>
          <c:x val="0.18492421080868682"/>
          <c:y val="0.88718002205082924"/>
          <c:w val="0.75060803553401978"/>
          <c:h val="0.1125414475195483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</a:t>
            </a:r>
            <a:r>
              <a:rPr lang="en-US" baseline="0"/>
              <a:t> showing pressure losses i drejeled alene vs flow rates at different angles</a:t>
            </a:r>
            <a:endParaRPr lang="en-US"/>
          </a:p>
        </c:rich>
      </c:tx>
      <c:layout>
        <c:manualLayout>
          <c:xMode val="edge"/>
          <c:yMode val="edge"/>
          <c:x val="0.24552951233861675"/>
          <c:y val="3.4139404089981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89925543928675E-2"/>
          <c:y val="0.10838911340101985"/>
          <c:w val="0.91931644042735416"/>
          <c:h val="0.689158709654179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Total 0 degrees 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Sheet2!$A$5:$A$25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Sheet2!$B$5:$B$25</c:f>
              <c:numCache>
                <c:formatCode>General</c:formatCode>
                <c:ptCount val="21"/>
                <c:pt idx="0">
                  <c:v>0</c:v>
                </c:pt>
                <c:pt idx="1">
                  <c:v>2.9735090999999998</c:v>
                </c:pt>
                <c:pt idx="2">
                  <c:v>9.5185681999999989</c:v>
                </c:pt>
                <c:pt idx="3">
                  <c:v>19.635177299999999</c:v>
                </c:pt>
                <c:pt idx="4">
                  <c:v>33.323336399999995</c:v>
                </c:pt>
                <c:pt idx="5">
                  <c:v>50.583045499999997</c:v>
                </c:pt>
                <c:pt idx="6">
                  <c:v>71.414304599999994</c:v>
                </c:pt>
                <c:pt idx="7">
                  <c:v>95.817113699999993</c:v>
                </c:pt>
                <c:pt idx="8">
                  <c:v>123.79147279999999</c:v>
                </c:pt>
                <c:pt idx="9">
                  <c:v>155.3373819</c:v>
                </c:pt>
                <c:pt idx="10">
                  <c:v>190.45484099999999</c:v>
                </c:pt>
                <c:pt idx="11">
                  <c:v>229.14385009999998</c:v>
                </c:pt>
                <c:pt idx="12">
                  <c:v>271.40440919999998</c:v>
                </c:pt>
                <c:pt idx="13">
                  <c:v>317.2365183</c:v>
                </c:pt>
                <c:pt idx="14">
                  <c:v>366.64017739999997</c:v>
                </c:pt>
                <c:pt idx="15">
                  <c:v>419.61538649999994</c:v>
                </c:pt>
                <c:pt idx="16">
                  <c:v>476.16214559999997</c:v>
                </c:pt>
                <c:pt idx="17">
                  <c:v>536.28045469999995</c:v>
                </c:pt>
                <c:pt idx="18">
                  <c:v>599.97031379999999</c:v>
                </c:pt>
                <c:pt idx="19">
                  <c:v>667.23172289999991</c:v>
                </c:pt>
                <c:pt idx="20">
                  <c:v>738.06468199999995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Total 45 degrees 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Sheet2!$D$5:$D$25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Sheet2!$E$5:$E$25</c:f>
              <c:numCache>
                <c:formatCode>General</c:formatCode>
                <c:ptCount val="21"/>
                <c:pt idx="0">
                  <c:v>0</c:v>
                </c:pt>
                <c:pt idx="1">
                  <c:v>2.6858208000000001</c:v>
                </c:pt>
                <c:pt idx="2">
                  <c:v>8.9596836</c:v>
                </c:pt>
                <c:pt idx="3">
                  <c:v>18.8215884</c:v>
                </c:pt>
                <c:pt idx="4">
                  <c:v>32.271535200000002</c:v>
                </c:pt>
                <c:pt idx="5">
                  <c:v>49.309524000000003</c:v>
                </c:pt>
                <c:pt idx="6">
                  <c:v>69.935554800000006</c:v>
                </c:pt>
                <c:pt idx="7">
                  <c:v>94.149627600000002</c:v>
                </c:pt>
                <c:pt idx="8">
                  <c:v>121.9517424</c:v>
                </c:pt>
                <c:pt idx="9">
                  <c:v>153.34189920000003</c:v>
                </c:pt>
                <c:pt idx="10">
                  <c:v>188.32009800000003</c:v>
                </c:pt>
                <c:pt idx="11">
                  <c:v>226.88633880000003</c:v>
                </c:pt>
                <c:pt idx="12">
                  <c:v>269.04062160000001</c:v>
                </c:pt>
                <c:pt idx="13">
                  <c:v>314.78294640000001</c:v>
                </c:pt>
                <c:pt idx="14">
                  <c:v>364.11331320000005</c:v>
                </c:pt>
                <c:pt idx="15">
                  <c:v>417.03172200000006</c:v>
                </c:pt>
                <c:pt idx="16">
                  <c:v>473.53817280000004</c:v>
                </c:pt>
                <c:pt idx="17">
                  <c:v>533.6326656</c:v>
                </c:pt>
                <c:pt idx="18">
                  <c:v>597.31520040000009</c:v>
                </c:pt>
                <c:pt idx="19">
                  <c:v>664.58577720000005</c:v>
                </c:pt>
                <c:pt idx="20">
                  <c:v>735.4443960000001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Sheet2!$G$3</c:f>
              <c:strCache>
                <c:ptCount val="1"/>
                <c:pt idx="0">
                  <c:v>Total 90 degrees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Sheet2!$G$5:$G$25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Sheet2!$H$5:$H$25</c:f>
              <c:numCache>
                <c:formatCode>General</c:formatCode>
                <c:ptCount val="21"/>
                <c:pt idx="0">
                  <c:v>0</c:v>
                </c:pt>
                <c:pt idx="1">
                  <c:v>2.5284513</c:v>
                </c:pt>
                <c:pt idx="2">
                  <c:v>9.430760600000001</c:v>
                </c:pt>
                <c:pt idx="3">
                  <c:v>20.7069279</c:v>
                </c:pt>
                <c:pt idx="4">
                  <c:v>36.3569532</c:v>
                </c:pt>
                <c:pt idx="5">
                  <c:v>56.380836500000001</c:v>
                </c:pt>
                <c:pt idx="6">
                  <c:v>80.778577799999994</c:v>
                </c:pt>
                <c:pt idx="7">
                  <c:v>109.5501771</c:v>
                </c:pt>
                <c:pt idx="8">
                  <c:v>142.69563440000002</c:v>
                </c:pt>
                <c:pt idx="9">
                  <c:v>180.21494969999998</c:v>
                </c:pt>
                <c:pt idx="10">
                  <c:v>222.10812300000001</c:v>
                </c:pt>
                <c:pt idx="11">
                  <c:v>268.37515429999996</c:v>
                </c:pt>
                <c:pt idx="12">
                  <c:v>319.01604359999999</c:v>
                </c:pt>
                <c:pt idx="13">
                  <c:v>374.0307909</c:v>
                </c:pt>
                <c:pt idx="14">
                  <c:v>433.41939619999999</c:v>
                </c:pt>
                <c:pt idx="15">
                  <c:v>497.18185949999997</c:v>
                </c:pt>
                <c:pt idx="16">
                  <c:v>565.31818080000005</c:v>
                </c:pt>
                <c:pt idx="17">
                  <c:v>637.82836009999994</c:v>
                </c:pt>
                <c:pt idx="18">
                  <c:v>714.71239739999999</c:v>
                </c:pt>
                <c:pt idx="19">
                  <c:v>795.97029269999996</c:v>
                </c:pt>
                <c:pt idx="20">
                  <c:v>881.60204600000009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Sheet2!$J$3</c:f>
              <c:strCache>
                <c:ptCount val="1"/>
                <c:pt idx="0">
                  <c:v>Total 135 degrees </c:v>
                </c:pt>
              </c:strCache>
            </c:strRef>
          </c:tx>
          <c:spPr>
            <a:ln w="19050" cmpd="sng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Sheet2!$J$5:$J$25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Sheet2!$K$5:$K$25</c:f>
              <c:numCache>
                <c:formatCode>General</c:formatCode>
                <c:ptCount val="21"/>
                <c:pt idx="0">
                  <c:v>0</c:v>
                </c:pt>
                <c:pt idx="1">
                  <c:v>4.6576000999999998</c:v>
                </c:pt>
                <c:pt idx="2">
                  <c:v>14.279670200000002</c:v>
                </c:pt>
                <c:pt idx="3">
                  <c:v>28.866210299999999</c:v>
                </c:pt>
                <c:pt idx="4">
                  <c:v>48.417220400000005</c:v>
                </c:pt>
                <c:pt idx="5">
                  <c:v>72.932700499999996</c:v>
                </c:pt>
                <c:pt idx="6">
                  <c:v>102.41265060000001</c:v>
                </c:pt>
                <c:pt idx="7">
                  <c:v>136.85707070000001</c:v>
                </c:pt>
                <c:pt idx="8">
                  <c:v>176.26596080000002</c:v>
                </c:pt>
                <c:pt idx="9">
                  <c:v>220.6393209</c:v>
                </c:pt>
                <c:pt idx="10">
                  <c:v>269.97715099999999</c:v>
                </c:pt>
                <c:pt idx="11">
                  <c:v>324.27945110000002</c:v>
                </c:pt>
                <c:pt idx="12">
                  <c:v>383.54622119999999</c:v>
                </c:pt>
                <c:pt idx="13">
                  <c:v>447.77746130000003</c:v>
                </c:pt>
                <c:pt idx="14">
                  <c:v>516.97317139999996</c:v>
                </c:pt>
                <c:pt idx="15">
                  <c:v>591.1333515</c:v>
                </c:pt>
                <c:pt idx="16">
                  <c:v>670.25800160000006</c:v>
                </c:pt>
                <c:pt idx="17">
                  <c:v>754.3471217</c:v>
                </c:pt>
                <c:pt idx="18">
                  <c:v>843.40071179999995</c:v>
                </c:pt>
                <c:pt idx="19">
                  <c:v>937.41877189999991</c:v>
                </c:pt>
                <c:pt idx="20">
                  <c:v>1036.401302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Sheet2!$M$3</c:f>
              <c:strCache>
                <c:ptCount val="1"/>
                <c:pt idx="0">
                  <c:v>Total 165 degrees 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Sheet2!$M$5:$M$25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Sheet2!$N$5:$N$25</c:f>
              <c:numCache>
                <c:formatCode>General</c:formatCode>
                <c:ptCount val="21"/>
                <c:pt idx="0">
                  <c:v>0</c:v>
                </c:pt>
                <c:pt idx="1">
                  <c:v>3.6139861000000004</c:v>
                </c:pt>
                <c:pt idx="2">
                  <c:v>12.809310200000001</c:v>
                </c:pt>
                <c:pt idx="3">
                  <c:v>27.585972300000002</c:v>
                </c:pt>
                <c:pt idx="4">
                  <c:v>47.943972400000007</c:v>
                </c:pt>
                <c:pt idx="5">
                  <c:v>73.883310500000007</c:v>
                </c:pt>
                <c:pt idx="6">
                  <c:v>105.4039866</c:v>
                </c:pt>
                <c:pt idx="7">
                  <c:v>142.50600070000002</c:v>
                </c:pt>
                <c:pt idx="8">
                  <c:v>185.18935280000002</c:v>
                </c:pt>
                <c:pt idx="9">
                  <c:v>233.45404290000002</c:v>
                </c:pt>
                <c:pt idx="10">
                  <c:v>287.30007100000006</c:v>
                </c:pt>
                <c:pt idx="11">
                  <c:v>346.72743710000003</c:v>
                </c:pt>
                <c:pt idx="12">
                  <c:v>411.73614120000002</c:v>
                </c:pt>
                <c:pt idx="13">
                  <c:v>482.32618330000003</c:v>
                </c:pt>
                <c:pt idx="14">
                  <c:v>558.49756339999999</c:v>
                </c:pt>
                <c:pt idx="15">
                  <c:v>640.25028150000003</c:v>
                </c:pt>
                <c:pt idx="16">
                  <c:v>727.58433760000003</c:v>
                </c:pt>
                <c:pt idx="17">
                  <c:v>820.4997317000001</c:v>
                </c:pt>
                <c:pt idx="18">
                  <c:v>918.99646380000001</c:v>
                </c:pt>
                <c:pt idx="19">
                  <c:v>1023.0745339</c:v>
                </c:pt>
                <c:pt idx="20">
                  <c:v>1132.7339420000001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Sheet2!$P$3</c:f>
              <c:strCache>
                <c:ptCount val="1"/>
                <c:pt idx="0">
                  <c:v>Pipe 0 degrees </c:v>
                </c:pt>
              </c:strCache>
            </c:strRef>
          </c:tx>
          <c:spPr>
            <a:ln w="19050" cmpd="sng">
              <a:solidFill>
                <a:srgbClr val="0070C0"/>
              </a:solidFill>
              <a:prstDash val="lgDashDotDot"/>
            </a:ln>
          </c:spPr>
          <c:marker>
            <c:symbol val="none"/>
          </c:marker>
          <c:xVal>
            <c:numRef>
              <c:f>Sheet2!$P$5:$P$25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Sheet2!$Q$5:$Q$25</c:f>
              <c:numCache>
                <c:formatCode>General</c:formatCode>
                <c:ptCount val="21"/>
                <c:pt idx="0">
                  <c:v>0</c:v>
                </c:pt>
                <c:pt idx="1">
                  <c:v>0.82729419999999998</c:v>
                </c:pt>
                <c:pt idx="2">
                  <c:v>2.1798903999999997</c:v>
                </c:pt>
                <c:pt idx="3">
                  <c:v>4.0577885999999994</c:v>
                </c:pt>
                <c:pt idx="4">
                  <c:v>6.4609887999999991</c:v>
                </c:pt>
                <c:pt idx="5">
                  <c:v>9.3894909999999996</c:v>
                </c:pt>
                <c:pt idx="6">
                  <c:v>12.843295199999998</c:v>
                </c:pt>
                <c:pt idx="7">
                  <c:v>16.8224014</c:v>
                </c:pt>
                <c:pt idx="8">
                  <c:v>21.326809599999997</c:v>
                </c:pt>
                <c:pt idx="9">
                  <c:v>26.356519800000001</c:v>
                </c:pt>
                <c:pt idx="10">
                  <c:v>31.911532000000001</c:v>
                </c:pt>
                <c:pt idx="11">
                  <c:v>37.991846199999998</c:v>
                </c:pt>
                <c:pt idx="12">
                  <c:v>44.597462399999998</c:v>
                </c:pt>
                <c:pt idx="13">
                  <c:v>51.728380600000001</c:v>
                </c:pt>
                <c:pt idx="14">
                  <c:v>59.384600800000001</c:v>
                </c:pt>
                <c:pt idx="15">
                  <c:v>67.566123000000005</c:v>
                </c:pt>
                <c:pt idx="16">
                  <c:v>76.27294719999999</c:v>
                </c:pt>
                <c:pt idx="17">
                  <c:v>85.505073400000001</c:v>
                </c:pt>
                <c:pt idx="18">
                  <c:v>95.262501599999993</c:v>
                </c:pt>
                <c:pt idx="19">
                  <c:v>105.5452318</c:v>
                </c:pt>
                <c:pt idx="20">
                  <c:v>116.353264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Sheet2!$S$3</c:f>
              <c:strCache>
                <c:ptCount val="1"/>
                <c:pt idx="0">
                  <c:v>Pipe 45 degrees </c:v>
                </c:pt>
              </c:strCache>
            </c:strRef>
          </c:tx>
          <c:spPr>
            <a:ln w="19050" cmpd="sng">
              <a:solidFill>
                <a:srgbClr val="FF0000"/>
              </a:solidFill>
              <a:prstDash val="lgDashDotDot"/>
            </a:ln>
          </c:spPr>
          <c:marker>
            <c:symbol val="none"/>
          </c:marker>
          <c:xVal>
            <c:numRef>
              <c:f>Sheet2!$S$5:$S$25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Sheet2!$T$5:$T$25</c:f>
              <c:numCache>
                <c:formatCode>General</c:formatCode>
                <c:ptCount val="21"/>
                <c:pt idx="0">
                  <c:v>0</c:v>
                </c:pt>
                <c:pt idx="1">
                  <c:v>0.82398529999999992</c:v>
                </c:pt>
                <c:pt idx="2">
                  <c:v>2.1740285999999998</c:v>
                </c:pt>
                <c:pt idx="3">
                  <c:v>4.0501298999999999</c:v>
                </c:pt>
                <c:pt idx="4">
                  <c:v>6.4522892000000001</c:v>
                </c:pt>
                <c:pt idx="5">
                  <c:v>9.3805064999999992</c:v>
                </c:pt>
                <c:pt idx="6">
                  <c:v>12.8347818</c:v>
                </c:pt>
                <c:pt idx="7">
                  <c:v>16.8151151</c:v>
                </c:pt>
                <c:pt idx="8">
                  <c:v>21.321506400000001</c:v>
                </c:pt>
                <c:pt idx="9">
                  <c:v>26.3539557</c:v>
                </c:pt>
                <c:pt idx="10">
                  <c:v>31.912463000000002</c:v>
                </c:pt>
                <c:pt idx="11">
                  <c:v>37.997028299999997</c:v>
                </c:pt>
                <c:pt idx="12">
                  <c:v>44.607651600000004</c:v>
                </c:pt>
                <c:pt idx="13">
                  <c:v>51.744332900000003</c:v>
                </c:pt>
                <c:pt idx="14">
                  <c:v>59.407072199999995</c:v>
                </c:pt>
                <c:pt idx="15">
                  <c:v>67.595869500000006</c:v>
                </c:pt>
                <c:pt idx="16">
                  <c:v>76.310724800000003</c:v>
                </c:pt>
                <c:pt idx="17">
                  <c:v>85.551638100000005</c:v>
                </c:pt>
                <c:pt idx="18">
                  <c:v>95.3186094</c:v>
                </c:pt>
                <c:pt idx="19">
                  <c:v>105.6116387</c:v>
                </c:pt>
                <c:pt idx="20">
                  <c:v>116.43072600000001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Sheet2!$V$3</c:f>
              <c:strCache>
                <c:ptCount val="1"/>
                <c:pt idx="0">
                  <c:v>Pipe  90 degrees </c:v>
                </c:pt>
              </c:strCache>
            </c:strRef>
          </c:tx>
          <c:spPr>
            <a:ln w="19050" cmpd="dbl">
              <a:solidFill>
                <a:srgbClr val="00B050"/>
              </a:solidFill>
              <a:prstDash val="lgDashDotDot"/>
            </a:ln>
          </c:spPr>
          <c:marker>
            <c:symbol val="none"/>
          </c:marker>
          <c:xVal>
            <c:numRef>
              <c:f>Sheet2!$V$5:$V$25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Sheet2!$W$5:$W$25</c:f>
              <c:numCache>
                <c:formatCode>General</c:formatCode>
                <c:ptCount val="21"/>
                <c:pt idx="0">
                  <c:v>0</c:v>
                </c:pt>
                <c:pt idx="1">
                  <c:v>0.81892349999999992</c:v>
                </c:pt>
                <c:pt idx="2">
                  <c:v>2.1653229999999999</c:v>
                </c:pt>
                <c:pt idx="3">
                  <c:v>4.0391984999999995</c:v>
                </c:pt>
                <c:pt idx="4">
                  <c:v>6.44055</c:v>
                </c:pt>
                <c:pt idx="5">
                  <c:v>9.3693774999999988</c:v>
                </c:pt>
                <c:pt idx="6">
                  <c:v>12.825680999999999</c:v>
                </c:pt>
                <c:pt idx="7">
                  <c:v>16.8094605</c:v>
                </c:pt>
                <c:pt idx="8">
                  <c:v>21.320715999999997</c:v>
                </c:pt>
                <c:pt idx="9">
                  <c:v>26.359447499999998</c:v>
                </c:pt>
                <c:pt idx="10">
                  <c:v>31.925654999999999</c:v>
                </c:pt>
                <c:pt idx="11">
                  <c:v>38.019338500000003</c:v>
                </c:pt>
                <c:pt idx="12">
                  <c:v>44.640497999999994</c:v>
                </c:pt>
                <c:pt idx="13">
                  <c:v>51.789133499999998</c:v>
                </c:pt>
                <c:pt idx="14">
                  <c:v>59.465244999999996</c:v>
                </c:pt>
                <c:pt idx="15">
                  <c:v>67.668832499999994</c:v>
                </c:pt>
                <c:pt idx="16">
                  <c:v>76.399895999999998</c:v>
                </c:pt>
                <c:pt idx="17">
                  <c:v>85.658435499999996</c:v>
                </c:pt>
                <c:pt idx="18">
                  <c:v>95.444451000000001</c:v>
                </c:pt>
                <c:pt idx="19">
                  <c:v>105.7579425</c:v>
                </c:pt>
                <c:pt idx="20">
                  <c:v>116.59890999999999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Sheet2!$Y$3</c:f>
              <c:strCache>
                <c:ptCount val="1"/>
                <c:pt idx="0">
                  <c:v>Pipe 135 degrees </c:v>
                </c:pt>
              </c:strCache>
            </c:strRef>
          </c:tx>
          <c:spPr>
            <a:ln w="19050" cmpd="dbl">
              <a:solidFill>
                <a:srgbClr val="7030A0"/>
              </a:solidFill>
              <a:prstDash val="lgDashDotDot"/>
            </a:ln>
          </c:spPr>
          <c:marker>
            <c:symbol val="none"/>
          </c:marker>
          <c:xVal>
            <c:numRef>
              <c:f>Sheet2!$Y$5:$Y$25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Sheet2!$Z$5:$Z$25</c:f>
              <c:numCache>
                <c:formatCode>General</c:formatCode>
                <c:ptCount val="21"/>
                <c:pt idx="0">
                  <c:v>0</c:v>
                </c:pt>
                <c:pt idx="1">
                  <c:v>0.83417620000000003</c:v>
                </c:pt>
                <c:pt idx="2">
                  <c:v>2.1920364000000001</c:v>
                </c:pt>
                <c:pt idx="3">
                  <c:v>4.0735806000000006</c:v>
                </c:pt>
                <c:pt idx="4">
                  <c:v>6.4788088000000004</c:v>
                </c:pt>
                <c:pt idx="5">
                  <c:v>9.4077210000000004</c:v>
                </c:pt>
                <c:pt idx="6">
                  <c:v>12.860317200000001</c:v>
                </c:pt>
                <c:pt idx="7">
                  <c:v>16.836597400000002</c:v>
                </c:pt>
                <c:pt idx="8">
                  <c:v>21.336561600000003</c:v>
                </c:pt>
                <c:pt idx="9">
                  <c:v>26.3602098</c:v>
                </c:pt>
                <c:pt idx="10">
                  <c:v>31.907541999999999</c:v>
                </c:pt>
                <c:pt idx="11">
                  <c:v>37.978558200000002</c:v>
                </c:pt>
                <c:pt idx="12">
                  <c:v>44.573258400000007</c:v>
                </c:pt>
                <c:pt idx="13">
                  <c:v>51.691642600000009</c:v>
                </c:pt>
                <c:pt idx="14">
                  <c:v>59.333710800000006</c:v>
                </c:pt>
                <c:pt idx="15">
                  <c:v>67.499463000000006</c:v>
                </c:pt>
                <c:pt idx="16">
                  <c:v>76.188899200000009</c:v>
                </c:pt>
                <c:pt idx="17">
                  <c:v>85.402019400000015</c:v>
                </c:pt>
                <c:pt idx="18">
                  <c:v>95.138823600000009</c:v>
                </c:pt>
                <c:pt idx="19">
                  <c:v>105.39931180000001</c:v>
                </c:pt>
                <c:pt idx="20">
                  <c:v>116.18348400000001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Sheet2!$AB$3</c:f>
              <c:strCache>
                <c:ptCount val="1"/>
                <c:pt idx="0">
                  <c:v>Pipe 165 degrees </c:v>
                </c:pt>
              </c:strCache>
            </c:strRef>
          </c:tx>
          <c:spPr>
            <a:ln w="19050" cmpd="dbl">
              <a:solidFill>
                <a:srgbClr val="FFC000"/>
              </a:solidFill>
              <a:prstDash val="lgDashDotDot"/>
            </a:ln>
          </c:spPr>
          <c:marker>
            <c:symbol val="none"/>
          </c:marker>
          <c:xVal>
            <c:numRef>
              <c:f>Sheet2!$AB$5:$AB$25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Sheet2!$AC$5:$AC$25</c:f>
              <c:numCache>
                <c:formatCode>General</c:formatCode>
                <c:ptCount val="21"/>
                <c:pt idx="0">
                  <c:v>0</c:v>
                </c:pt>
                <c:pt idx="1">
                  <c:v>0.82897270000000001</c:v>
                </c:pt>
                <c:pt idx="2">
                  <c:v>2.1829993999999999</c:v>
                </c:pt>
                <c:pt idx="3">
                  <c:v>4.0620801000000002</c:v>
                </c:pt>
                <c:pt idx="4">
                  <c:v>6.4662147999999995</c:v>
                </c:pt>
                <c:pt idx="5">
                  <c:v>9.3954034999999987</c:v>
                </c:pt>
                <c:pt idx="6">
                  <c:v>12.8496462</c:v>
                </c:pt>
                <c:pt idx="7">
                  <c:v>16.828942900000001</c:v>
                </c:pt>
                <c:pt idx="8">
                  <c:v>21.333293600000001</c:v>
                </c:pt>
                <c:pt idx="9">
                  <c:v>26.362698299999998</c:v>
                </c:pt>
                <c:pt idx="10">
                  <c:v>31.917156999999996</c:v>
                </c:pt>
                <c:pt idx="11">
                  <c:v>37.996669699999998</c:v>
                </c:pt>
                <c:pt idx="12">
                  <c:v>44.601236399999998</c:v>
                </c:pt>
                <c:pt idx="13">
                  <c:v>51.730857099999994</c:v>
                </c:pt>
                <c:pt idx="14">
                  <c:v>59.385531800000003</c:v>
                </c:pt>
                <c:pt idx="15">
                  <c:v>67.565260499999994</c:v>
                </c:pt>
                <c:pt idx="16">
                  <c:v>76.270043200000003</c:v>
                </c:pt>
                <c:pt idx="17">
                  <c:v>85.499879899999996</c:v>
                </c:pt>
                <c:pt idx="18">
                  <c:v>95.254770600000001</c:v>
                </c:pt>
                <c:pt idx="19">
                  <c:v>105.53471529999999</c:v>
                </c:pt>
                <c:pt idx="20">
                  <c:v>116.33971399999999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Sheet2!$AE$3</c:f>
              <c:strCache>
                <c:ptCount val="1"/>
                <c:pt idx="0">
                  <c:v>Joint 0 degrees 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Sheet2!$AE$5:$AE$25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Sheet2!$AF$5:$AF$25</c:f>
              <c:numCache>
                <c:formatCode>General</c:formatCode>
                <c:ptCount val="21"/>
                <c:pt idx="0">
                  <c:v>0</c:v>
                </c:pt>
                <c:pt idx="1">
                  <c:v>2.1462148999999999</c:v>
                </c:pt>
                <c:pt idx="2">
                  <c:v>7.3386777999999993</c:v>
                </c:pt>
                <c:pt idx="3">
                  <c:v>15.5773887</c:v>
                </c:pt>
                <c:pt idx="4">
                  <c:v>26.862347599999996</c:v>
                </c:pt>
                <c:pt idx="5">
                  <c:v>41.193554499999998</c:v>
                </c:pt>
                <c:pt idx="6">
                  <c:v>58.571009399999994</c:v>
                </c:pt>
                <c:pt idx="7">
                  <c:v>78.994712299999989</c:v>
                </c:pt>
                <c:pt idx="8">
                  <c:v>102.46466319999999</c:v>
                </c:pt>
                <c:pt idx="9">
                  <c:v>128.9808621</c:v>
                </c:pt>
                <c:pt idx="10">
                  <c:v>158.54330899999999</c:v>
                </c:pt>
                <c:pt idx="11">
                  <c:v>191.15200389999998</c:v>
                </c:pt>
                <c:pt idx="12">
                  <c:v>226.80694679999999</c:v>
                </c:pt>
                <c:pt idx="13">
                  <c:v>265.50813770000002</c:v>
                </c:pt>
                <c:pt idx="14">
                  <c:v>307.25557659999998</c:v>
                </c:pt>
                <c:pt idx="15">
                  <c:v>352.04926349999994</c:v>
                </c:pt>
                <c:pt idx="16">
                  <c:v>399.8891984</c:v>
                </c:pt>
                <c:pt idx="17">
                  <c:v>450.77538129999994</c:v>
                </c:pt>
                <c:pt idx="18">
                  <c:v>504.70781219999998</c:v>
                </c:pt>
                <c:pt idx="19">
                  <c:v>561.6864910999999</c:v>
                </c:pt>
                <c:pt idx="20">
                  <c:v>621.71141799999998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Sheet2!$AH$3</c:f>
              <c:strCache>
                <c:ptCount val="1"/>
                <c:pt idx="0">
                  <c:v>Joint 45 degrees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Sheet2!$AH$5:$AH$25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Sheet2!$AI$5:$AI$25</c:f>
              <c:numCache>
                <c:formatCode>General</c:formatCode>
                <c:ptCount val="21"/>
                <c:pt idx="0">
                  <c:v>0</c:v>
                </c:pt>
                <c:pt idx="1">
                  <c:v>1.8618355000000002</c:v>
                </c:pt>
                <c:pt idx="2">
                  <c:v>6.7856550000000002</c:v>
                </c:pt>
                <c:pt idx="3">
                  <c:v>14.7714585</c:v>
                </c:pt>
                <c:pt idx="4">
                  <c:v>25.819246000000003</c:v>
                </c:pt>
                <c:pt idx="5">
                  <c:v>39.9290175</c:v>
                </c:pt>
                <c:pt idx="6">
                  <c:v>57.100773000000004</c:v>
                </c:pt>
                <c:pt idx="7">
                  <c:v>77.334512500000002</c:v>
                </c:pt>
                <c:pt idx="8">
                  <c:v>100.630236</c:v>
                </c:pt>
                <c:pt idx="9">
                  <c:v>126.98794350000003</c:v>
                </c:pt>
                <c:pt idx="10">
                  <c:v>156.40763500000003</c:v>
                </c:pt>
                <c:pt idx="11">
                  <c:v>188.88931050000002</c:v>
                </c:pt>
                <c:pt idx="12">
                  <c:v>224.43297000000001</c:v>
                </c:pt>
                <c:pt idx="13">
                  <c:v>263.0386135</c:v>
                </c:pt>
                <c:pt idx="14">
                  <c:v>304.70624100000003</c:v>
                </c:pt>
                <c:pt idx="15">
                  <c:v>349.43585250000007</c:v>
                </c:pt>
                <c:pt idx="16">
                  <c:v>397.22744800000004</c:v>
                </c:pt>
                <c:pt idx="17">
                  <c:v>448.0810275</c:v>
                </c:pt>
                <c:pt idx="18">
                  <c:v>501.99659100000008</c:v>
                </c:pt>
                <c:pt idx="19">
                  <c:v>558.97413850000009</c:v>
                </c:pt>
                <c:pt idx="20">
                  <c:v>619.01367000000005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Sheet2!$AK$3</c:f>
              <c:strCache>
                <c:ptCount val="1"/>
                <c:pt idx="0">
                  <c:v>Joint  90 degrees 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Sheet2!$AK$5:$AK$25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Sheet2!$AL$5:$AL$25</c:f>
              <c:numCache>
                <c:formatCode>General</c:formatCode>
                <c:ptCount val="21"/>
                <c:pt idx="0">
                  <c:v>0</c:v>
                </c:pt>
                <c:pt idx="1">
                  <c:v>1.7095278</c:v>
                </c:pt>
                <c:pt idx="2">
                  <c:v>7.2654376000000012</c:v>
                </c:pt>
                <c:pt idx="3">
                  <c:v>16.667729399999999</c:v>
                </c:pt>
                <c:pt idx="4">
                  <c:v>29.916403199999998</c:v>
                </c:pt>
                <c:pt idx="5">
                  <c:v>47.011459000000002</c:v>
                </c:pt>
                <c:pt idx="6">
                  <c:v>67.952896799999991</c:v>
                </c:pt>
                <c:pt idx="7">
                  <c:v>92.740716599999999</c:v>
                </c:pt>
                <c:pt idx="8">
                  <c:v>121.37491840000001</c:v>
                </c:pt>
                <c:pt idx="9">
                  <c:v>153.85550219999999</c:v>
                </c:pt>
                <c:pt idx="10">
                  <c:v>190.182468</c:v>
                </c:pt>
                <c:pt idx="11">
                  <c:v>230.35581579999996</c:v>
                </c:pt>
                <c:pt idx="12">
                  <c:v>274.37554560000001</c:v>
                </c:pt>
                <c:pt idx="13">
                  <c:v>322.24165740000001</c:v>
                </c:pt>
                <c:pt idx="14">
                  <c:v>373.95415120000001</c:v>
                </c:pt>
                <c:pt idx="15">
                  <c:v>429.51302699999997</c:v>
                </c:pt>
                <c:pt idx="16">
                  <c:v>488.91828480000004</c:v>
                </c:pt>
                <c:pt idx="17">
                  <c:v>552.16992459999994</c:v>
                </c:pt>
                <c:pt idx="18">
                  <c:v>619.26794640000003</c:v>
                </c:pt>
                <c:pt idx="19">
                  <c:v>690.21235019999995</c:v>
                </c:pt>
                <c:pt idx="20">
                  <c:v>765.00313600000004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Sheet2!$AN$3</c:f>
              <c:strCache>
                <c:ptCount val="1"/>
                <c:pt idx="0">
                  <c:v>Joint 135 degrees 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Sheet2!$AN$5:$AN$25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Sheet2!$AO$5:$AO$25</c:f>
              <c:numCache>
                <c:formatCode>General</c:formatCode>
                <c:ptCount val="21"/>
                <c:pt idx="0">
                  <c:v>0</c:v>
                </c:pt>
                <c:pt idx="1">
                  <c:v>3.8234238999999999</c:v>
                </c:pt>
                <c:pt idx="2">
                  <c:v>12.087633800000003</c:v>
                </c:pt>
                <c:pt idx="3">
                  <c:v>24.792629699999999</c:v>
                </c:pt>
                <c:pt idx="4">
                  <c:v>41.938411600000002</c:v>
                </c:pt>
                <c:pt idx="5">
                  <c:v>63.524979499999993</c:v>
                </c:pt>
                <c:pt idx="6">
                  <c:v>89.552333400000009</c:v>
                </c:pt>
                <c:pt idx="7">
                  <c:v>120.02047330000001</c:v>
                </c:pt>
                <c:pt idx="8">
                  <c:v>154.92939920000001</c:v>
                </c:pt>
                <c:pt idx="9">
                  <c:v>194.27911109999999</c:v>
                </c:pt>
                <c:pt idx="10">
                  <c:v>238.06960899999999</c:v>
                </c:pt>
                <c:pt idx="11">
                  <c:v>286.30089290000001</c:v>
                </c:pt>
                <c:pt idx="12">
                  <c:v>338.9729628</c:v>
                </c:pt>
                <c:pt idx="13">
                  <c:v>396.0858187</c:v>
                </c:pt>
                <c:pt idx="14">
                  <c:v>457.63946059999995</c:v>
                </c:pt>
                <c:pt idx="15">
                  <c:v>523.63388850000001</c:v>
                </c:pt>
                <c:pt idx="16">
                  <c:v>594.06910240000002</c:v>
                </c:pt>
                <c:pt idx="17">
                  <c:v>668.94510230000003</c:v>
                </c:pt>
                <c:pt idx="18">
                  <c:v>748.26188819999993</c:v>
                </c:pt>
                <c:pt idx="19">
                  <c:v>832.01946009999995</c:v>
                </c:pt>
                <c:pt idx="20">
                  <c:v>920.21781799999997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Sheet2!$AQ$3</c:f>
              <c:strCache>
                <c:ptCount val="1"/>
                <c:pt idx="0">
                  <c:v>Joint 165 degrees 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Sheet2!$AQ$5:$AQ$25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Sheet2!$AR$5:$AR$25</c:f>
              <c:numCache>
                <c:formatCode>General</c:formatCode>
                <c:ptCount val="21"/>
                <c:pt idx="0">
                  <c:v>0</c:v>
                </c:pt>
                <c:pt idx="1">
                  <c:v>2.7850134000000004</c:v>
                </c:pt>
                <c:pt idx="2">
                  <c:v>10.626310800000001</c:v>
                </c:pt>
                <c:pt idx="3">
                  <c:v>23.523892200000002</c:v>
                </c:pt>
                <c:pt idx="4">
                  <c:v>41.477757600000004</c:v>
                </c:pt>
                <c:pt idx="5">
                  <c:v>64.487907000000007</c:v>
                </c:pt>
                <c:pt idx="6">
                  <c:v>92.554340400000001</c:v>
                </c:pt>
                <c:pt idx="7">
                  <c:v>125.67705780000001</c:v>
                </c:pt>
                <c:pt idx="8">
                  <c:v>163.85605920000003</c:v>
                </c:pt>
                <c:pt idx="9">
                  <c:v>207.09134460000001</c:v>
                </c:pt>
                <c:pt idx="10">
                  <c:v>255.38291400000006</c:v>
                </c:pt>
                <c:pt idx="11">
                  <c:v>308.73076740000005</c:v>
                </c:pt>
                <c:pt idx="12">
                  <c:v>367.13490480000002</c:v>
                </c:pt>
                <c:pt idx="13">
                  <c:v>430.59532620000004</c:v>
                </c:pt>
                <c:pt idx="14">
                  <c:v>499.11203159999997</c:v>
                </c:pt>
                <c:pt idx="15">
                  <c:v>572.68502100000001</c:v>
                </c:pt>
                <c:pt idx="16">
                  <c:v>651.31429439999999</c:v>
                </c:pt>
                <c:pt idx="17">
                  <c:v>734.9998518000001</c:v>
                </c:pt>
                <c:pt idx="18">
                  <c:v>823.74169319999999</c:v>
                </c:pt>
                <c:pt idx="19">
                  <c:v>917.53981859999999</c:v>
                </c:pt>
                <c:pt idx="20">
                  <c:v>1016.3942280000001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68464"/>
        <c:axId val="451971208"/>
      </c:scatterChart>
      <c:valAx>
        <c:axId val="45196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Volume</a:t>
                </a:r>
                <a:r>
                  <a:rPr lang="en-US" sz="1400" baseline="0"/>
                  <a:t> </a:t>
                </a:r>
                <a:r>
                  <a:rPr lang="en-US" sz="1400"/>
                  <a:t>Flow</a:t>
                </a:r>
                <a:r>
                  <a:rPr lang="en-US" sz="1400" baseline="0"/>
                  <a:t> rate [m^3/h]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3973965944281701"/>
              <c:y val="0.835190279463280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51971208"/>
        <c:crosses val="autoZero"/>
        <c:crossBetween val="midCat"/>
        <c:majorUnit val="10"/>
      </c:valAx>
      <c:valAx>
        <c:axId val="451971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Pressure</a:t>
                </a:r>
                <a:r>
                  <a:rPr lang="en-US" sz="1400" baseline="0"/>
                  <a:t> loss[Pa/m]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51968464"/>
        <c:crosses val="autoZero"/>
        <c:crossBetween val="midCat"/>
        <c:majorUnit val="50"/>
      </c:valAx>
    </c:plotArea>
    <c:legend>
      <c:legendPos val="b"/>
      <c:layout>
        <c:manualLayout>
          <c:xMode val="edge"/>
          <c:yMode val="edge"/>
          <c:x val="0.18492421080868682"/>
          <c:y val="0.88718002205082924"/>
          <c:w val="0.75060803553401978"/>
          <c:h val="0.11254144751954832"/>
        </c:manualLayout>
      </c:layout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57148</xdr:colOff>
      <xdr:row>0</xdr:row>
      <xdr:rowOff>0</xdr:rowOff>
    </xdr:from>
    <xdr:to>
      <xdr:col>23</xdr:col>
      <xdr:colOff>533400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7328</xdr:colOff>
      <xdr:row>30</xdr:row>
      <xdr:rowOff>35169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21167</xdr:colOff>
      <xdr:row>28</xdr:row>
      <xdr:rowOff>31751</xdr:rowOff>
    </xdr:from>
    <xdr:to>
      <xdr:col>38</xdr:col>
      <xdr:colOff>276491</xdr:colOff>
      <xdr:row>62</xdr:row>
      <xdr:rowOff>127001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31749</xdr:colOff>
      <xdr:row>28</xdr:row>
      <xdr:rowOff>62440</xdr:rowOff>
    </xdr:from>
    <xdr:to>
      <xdr:col>18</xdr:col>
      <xdr:colOff>455084</xdr:colOff>
      <xdr:row>62</xdr:row>
      <xdr:rowOff>158749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63500</xdr:rowOff>
    </xdr:from>
    <xdr:to>
      <xdr:col>13</xdr:col>
      <xdr:colOff>412749</xdr:colOff>
      <xdr:row>65</xdr:row>
      <xdr:rowOff>74083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13</xdr:col>
      <xdr:colOff>412749</xdr:colOff>
      <xdr:row>108</xdr:row>
      <xdr:rowOff>10583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214312</xdr:colOff>
      <xdr:row>3</xdr:row>
      <xdr:rowOff>289320</xdr:rowOff>
    </xdr:from>
    <xdr:to>
      <xdr:col>73</xdr:col>
      <xdr:colOff>500063</xdr:colOff>
      <xdr:row>40</xdr:row>
      <xdr:rowOff>154781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63500</xdr:rowOff>
    </xdr:from>
    <xdr:to>
      <xdr:col>13</xdr:col>
      <xdr:colOff>412749</xdr:colOff>
      <xdr:row>65</xdr:row>
      <xdr:rowOff>74083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13</xdr:col>
      <xdr:colOff>412749</xdr:colOff>
      <xdr:row>108</xdr:row>
      <xdr:rowOff>10583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tabSelected="1" zoomScale="130" zoomScaleNormal="130" workbookViewId="0">
      <selection activeCell="Q35" sqref="Q35"/>
    </sheetView>
  </sheetViews>
  <sheetFormatPr defaultRowHeight="15" x14ac:dyDescent="0.25"/>
  <cols>
    <col min="1" max="1" width="3.5703125" customWidth="1"/>
    <col min="2" max="2" width="2.28515625" customWidth="1"/>
    <col min="6" max="6" width="10.42578125" customWidth="1"/>
    <col min="7" max="7" width="2.5703125" customWidth="1"/>
    <col min="8" max="8" width="6.42578125" customWidth="1"/>
    <col min="9" max="9" width="7.85546875" customWidth="1"/>
    <col min="12" max="12" width="10.7109375" customWidth="1"/>
    <col min="21" max="21" width="9.85546875" customWidth="1"/>
    <col min="25" max="25" width="3.28515625" customWidth="1"/>
  </cols>
  <sheetData>
    <row r="1" spans="2:24" ht="12" customHeight="1" thickBot="1" x14ac:dyDescent="0.3">
      <c r="B1" s="50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41"/>
    </row>
    <row r="2" spans="2:24" ht="22.5" x14ac:dyDescent="0.35">
      <c r="B2" s="18"/>
      <c r="C2" s="57" t="s">
        <v>69</v>
      </c>
      <c r="D2" s="13"/>
      <c r="E2" s="13"/>
      <c r="F2" s="13"/>
      <c r="G2" s="13"/>
      <c r="H2" s="13"/>
      <c r="I2" s="41"/>
      <c r="J2" s="11"/>
      <c r="K2" s="45"/>
      <c r="L2" s="5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42"/>
    </row>
    <row r="3" spans="2:24" ht="75" x14ac:dyDescent="0.25">
      <c r="B3" s="18"/>
      <c r="C3" s="18" t="s">
        <v>51</v>
      </c>
      <c r="D3" s="11"/>
      <c r="E3" s="11"/>
      <c r="F3" s="44" t="s">
        <v>61</v>
      </c>
      <c r="G3" s="45"/>
      <c r="H3" s="52" t="s">
        <v>62</v>
      </c>
      <c r="I3" s="46" t="s">
        <v>60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2"/>
    </row>
    <row r="4" spans="2:24" x14ac:dyDescent="0.25">
      <c r="B4" s="18"/>
      <c r="C4" s="18" t="s">
        <v>44</v>
      </c>
      <c r="D4" s="11"/>
      <c r="E4" s="11"/>
      <c r="F4" s="47">
        <v>3</v>
      </c>
      <c r="G4" s="11"/>
      <c r="H4" s="55">
        <v>0</v>
      </c>
      <c r="I4" s="53">
        <f>$F$4*(0.0074844151*H4^2 + 0.0705014849*H4)+$F$5*(0.0089865644*H4^2 + 0.0492841031*H4)+$F$6*(0.0104140676*H4^2 + 0.0561048819*H4)+$F$7*(0.0108907888*H4^2 + 0.0889858395*H4
)+$F$8*(0.0105257455*H4^2 + 0.0611423417*H4)+(0.0046612059*H4^2 + 0.0353066765*H4)+($F$9-1)*(0.01205*0.055^(-1.194)*(H4/(PI()*0.055^2/4)/3600)^1.8)+1/2*1.204*((H4/3600)/(0.1^2/4*PI()))^2</f>
        <v>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42"/>
    </row>
    <row r="5" spans="2:24" x14ac:dyDescent="0.25">
      <c r="B5" s="18"/>
      <c r="C5" s="18" t="s">
        <v>45</v>
      </c>
      <c r="D5" s="11"/>
      <c r="E5" s="11"/>
      <c r="F5" s="47">
        <v>0</v>
      </c>
      <c r="G5" s="11"/>
      <c r="H5" s="55">
        <v>10</v>
      </c>
      <c r="I5" s="53">
        <f t="shared" ref="I5:I24" si="0">$F$4*(0.0074844151*H5^2 + 0.0705014849*H5)+$F$5*(0.0089865644*H5^2 + 0.0492841031*H5)+$F$6*(0.0104140676*H5^2 + 0.0561048819*H5)+$F$7*(0.0108907888*H5^2 + 0.0889858395*H5
)+$F$8*(0.0105257455*H5^2 + 0.0611423417*H5)+(0.0046612059*H5^2 + 0.0353066765*H5)+($F$9-1)*(0.01205*0.055^(-1.194)*(H5/(PI()*0.055^2/4)/3600)^1.8)+1/2*1.204*((H5/3600)/(0.1^2/4*PI()))^2</f>
        <v>5.2548593363860334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42"/>
    </row>
    <row r="6" spans="2:24" x14ac:dyDescent="0.25">
      <c r="B6" s="18"/>
      <c r="C6" s="18" t="s">
        <v>46</v>
      </c>
      <c r="D6" s="11"/>
      <c r="E6" s="11"/>
      <c r="F6" s="47">
        <v>0</v>
      </c>
      <c r="G6" s="11"/>
      <c r="H6" s="55">
        <v>20</v>
      </c>
      <c r="I6" s="53">
        <f t="shared" si="0"/>
        <v>16.083214721544131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42"/>
    </row>
    <row r="7" spans="2:24" x14ac:dyDescent="0.25">
      <c r="B7" s="18"/>
      <c r="C7" s="18" t="s">
        <v>47</v>
      </c>
      <c r="D7" s="11"/>
      <c r="E7" s="11"/>
      <c r="F7" s="47">
        <v>0</v>
      </c>
      <c r="G7" s="11"/>
      <c r="H7" s="55">
        <v>30</v>
      </c>
      <c r="I7" s="53">
        <f t="shared" si="0"/>
        <v>32.4850661554743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42"/>
    </row>
    <row r="8" spans="2:24" x14ac:dyDescent="0.25">
      <c r="B8" s="18"/>
      <c r="C8" s="18" t="s">
        <v>48</v>
      </c>
      <c r="D8" s="11"/>
      <c r="E8" s="11"/>
      <c r="F8" s="47">
        <v>0</v>
      </c>
      <c r="G8" s="11"/>
      <c r="H8" s="55">
        <v>40</v>
      </c>
      <c r="I8" s="53">
        <f t="shared" si="0"/>
        <v>54.46041363817654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42"/>
    </row>
    <row r="9" spans="2:24" x14ac:dyDescent="0.25">
      <c r="B9" s="18"/>
      <c r="C9" s="18" t="s">
        <v>68</v>
      </c>
      <c r="D9" s="11"/>
      <c r="E9" s="11"/>
      <c r="F9" s="47">
        <v>1</v>
      </c>
      <c r="G9" s="11"/>
      <c r="H9" s="55">
        <v>50</v>
      </c>
      <c r="I9" s="53">
        <f t="shared" si="0"/>
        <v>82.009257169650837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42"/>
    </row>
    <row r="10" spans="2:24" x14ac:dyDescent="0.25">
      <c r="B10" s="18"/>
      <c r="C10" s="18" t="s">
        <v>63</v>
      </c>
      <c r="D10" s="11"/>
      <c r="E10" s="11"/>
      <c r="F10" s="49" t="s">
        <v>67</v>
      </c>
      <c r="G10" s="11"/>
      <c r="H10" s="55">
        <v>60</v>
      </c>
      <c r="I10" s="53">
        <f t="shared" si="0"/>
        <v>115.1315967498972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2"/>
    </row>
    <row r="11" spans="2:24" x14ac:dyDescent="0.25">
      <c r="B11" s="18"/>
      <c r="C11" s="18"/>
      <c r="D11" s="11"/>
      <c r="E11" s="11"/>
      <c r="F11" s="11"/>
      <c r="G11" s="11"/>
      <c r="H11" s="55">
        <v>70</v>
      </c>
      <c r="I11" s="53">
        <f t="shared" si="0"/>
        <v>153.82743237891566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42"/>
    </row>
    <row r="12" spans="2:24" x14ac:dyDescent="0.25">
      <c r="B12" s="18"/>
      <c r="C12" s="18"/>
      <c r="D12" s="11"/>
      <c r="E12" s="11"/>
      <c r="F12" s="11"/>
      <c r="G12" s="11"/>
      <c r="H12" s="55">
        <v>80</v>
      </c>
      <c r="I12" s="53">
        <f t="shared" si="0"/>
        <v>198.09676405670618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42"/>
    </row>
    <row r="13" spans="2:24" x14ac:dyDescent="0.25">
      <c r="B13" s="18"/>
      <c r="C13" s="18"/>
      <c r="D13" s="11"/>
      <c r="E13" s="11"/>
      <c r="F13" s="11"/>
      <c r="G13" s="11"/>
      <c r="H13" s="55">
        <v>90</v>
      </c>
      <c r="I13" s="53">
        <f t="shared" si="0"/>
        <v>247.93959178326872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42"/>
    </row>
    <row r="14" spans="2:24" x14ac:dyDescent="0.25">
      <c r="B14" s="18"/>
      <c r="C14" s="18"/>
      <c r="D14" s="11"/>
      <c r="E14" s="11"/>
      <c r="F14" s="11"/>
      <c r="G14" s="11"/>
      <c r="H14" s="55">
        <v>100</v>
      </c>
      <c r="I14" s="53">
        <f t="shared" si="0"/>
        <v>303.35591555860339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42"/>
    </row>
    <row r="15" spans="2:24" x14ac:dyDescent="0.25">
      <c r="B15" s="18"/>
      <c r="C15" s="18"/>
      <c r="D15" s="11"/>
      <c r="E15" s="11"/>
      <c r="F15" s="11"/>
      <c r="G15" s="11"/>
      <c r="H15" s="55">
        <v>110</v>
      </c>
      <c r="I15" s="53">
        <f t="shared" si="0"/>
        <v>364.34573538271007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42"/>
    </row>
    <row r="16" spans="2:24" x14ac:dyDescent="0.25">
      <c r="B16" s="18"/>
      <c r="C16" s="18"/>
      <c r="D16" s="11"/>
      <c r="E16" s="11"/>
      <c r="F16" s="11"/>
      <c r="G16" s="11"/>
      <c r="H16" s="55">
        <v>120</v>
      </c>
      <c r="I16" s="53">
        <f t="shared" si="0"/>
        <v>430.90905125558879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42"/>
    </row>
    <row r="17" spans="2:24" x14ac:dyDescent="0.25">
      <c r="B17" s="18"/>
      <c r="C17" s="18"/>
      <c r="D17" s="11"/>
      <c r="E17" s="11"/>
      <c r="F17" s="11"/>
      <c r="G17" s="11"/>
      <c r="H17" s="55">
        <v>130</v>
      </c>
      <c r="I17" s="53">
        <f t="shared" si="0"/>
        <v>503.04586317723971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42"/>
    </row>
    <row r="18" spans="2:24" x14ac:dyDescent="0.25">
      <c r="B18" s="18"/>
      <c r="C18" s="18"/>
      <c r="D18" s="11"/>
      <c r="E18" s="11"/>
      <c r="F18" s="11"/>
      <c r="G18" s="11"/>
      <c r="H18" s="55">
        <v>140</v>
      </c>
      <c r="I18" s="53">
        <f t="shared" si="0"/>
        <v>580.7561711476626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42"/>
    </row>
    <row r="19" spans="2:24" x14ac:dyDescent="0.25">
      <c r="B19" s="18"/>
      <c r="C19" s="18"/>
      <c r="D19" s="11"/>
      <c r="E19" s="11"/>
      <c r="F19" s="11"/>
      <c r="G19" s="11"/>
      <c r="H19" s="55">
        <v>150</v>
      </c>
      <c r="I19" s="53">
        <f t="shared" si="0"/>
        <v>664.03997516685763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42"/>
    </row>
    <row r="20" spans="2:24" x14ac:dyDescent="0.25">
      <c r="B20" s="18"/>
      <c r="C20" s="18"/>
      <c r="D20" s="11"/>
      <c r="E20" s="11"/>
      <c r="F20" s="11"/>
      <c r="G20" s="11"/>
      <c r="H20" s="55">
        <v>160</v>
      </c>
      <c r="I20" s="53">
        <f t="shared" si="0"/>
        <v>752.89727523482475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42"/>
    </row>
    <row r="21" spans="2:24" x14ac:dyDescent="0.25">
      <c r="B21" s="18"/>
      <c r="C21" s="18"/>
      <c r="D21" s="11"/>
      <c r="E21" s="11"/>
      <c r="F21" s="11"/>
      <c r="G21" s="11"/>
      <c r="H21" s="55">
        <v>170</v>
      </c>
      <c r="I21" s="53">
        <f t="shared" si="0"/>
        <v>847.32807135156372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42"/>
    </row>
    <row r="22" spans="2:24" x14ac:dyDescent="0.25">
      <c r="B22" s="18"/>
      <c r="C22" s="18"/>
      <c r="D22" s="11"/>
      <c r="E22" s="11"/>
      <c r="F22" s="11"/>
      <c r="G22" s="11"/>
      <c r="H22" s="55">
        <v>180</v>
      </c>
      <c r="I22" s="53">
        <f t="shared" si="0"/>
        <v>947.3323635170749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42"/>
    </row>
    <row r="23" spans="2:24" x14ac:dyDescent="0.25">
      <c r="B23" s="18"/>
      <c r="C23" s="18"/>
      <c r="D23" s="11"/>
      <c r="E23" s="11"/>
      <c r="F23" s="11"/>
      <c r="G23" s="11"/>
      <c r="H23" s="55">
        <v>190</v>
      </c>
      <c r="I23" s="53">
        <f t="shared" si="0"/>
        <v>1052.9101517313582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42"/>
    </row>
    <row r="24" spans="2:24" ht="15.75" thickBot="1" x14ac:dyDescent="0.3">
      <c r="B24" s="18"/>
      <c r="C24" s="21"/>
      <c r="D24" s="23"/>
      <c r="E24" s="23"/>
      <c r="F24" s="23"/>
      <c r="G24" s="23"/>
      <c r="H24" s="56">
        <v>200</v>
      </c>
      <c r="I24" s="54">
        <f t="shared" si="0"/>
        <v>1164.0614359944136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42"/>
    </row>
    <row r="25" spans="2:24" ht="15.75" thickBot="1" x14ac:dyDescent="0.3">
      <c r="B25" s="2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43"/>
    </row>
    <row r="29" spans="2:24" ht="18.75" hidden="1" customHeight="1" x14ac:dyDescent="0.25"/>
    <row r="30" spans="2:24" hidden="1" x14ac:dyDescent="0.25">
      <c r="B30" s="48" t="s">
        <v>65</v>
      </c>
      <c r="E30" t="str">
        <f xml:space="preserve"> E32&amp;"   "&amp;F10&amp;",  "&amp;F4&amp;" stk  "&amp;"ligeud + "&amp;F5&amp;" stk 45 grader  + "&amp;F6&amp;" stk 90 grader  + "&amp;F7&amp;" stk 135 grader  + "&amp;F8&amp;" stk 165 grader  + "&amp;F9&amp;" meter  57mm kanal"</f>
        <v>Permavent   11/9 2015,  3 stk  ligeud + 0 stk 45 grader  + 0 stk 90 grader  + 0 stk 135 grader  + 0 stk 165 grader  + 1 meter  57mm kanal</v>
      </c>
    </row>
    <row r="31" spans="2:24" hidden="1" x14ac:dyDescent="0.25"/>
    <row r="32" spans="2:24" hidden="1" x14ac:dyDescent="0.25">
      <c r="B32" t="s">
        <v>66</v>
      </c>
      <c r="E32" t="s">
        <v>64</v>
      </c>
    </row>
    <row r="33" hidden="1" x14ac:dyDescent="0.25"/>
  </sheetData>
  <sheetProtection algorithmName="SHA-512" hashValue="8Mjx2dC2bAAVra8ISv7HEIPawkqgdKfHl8Lu8TXA0d1kJO66xgxuI3TXBu2xA8x5rXwiVbA4nMblIvfMRJnKOg==" saltValue="rLOQmXPrWp/aGmyfjunKk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7:E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10"/>
  <sheetViews>
    <sheetView topLeftCell="P1" zoomScale="80" zoomScaleNormal="80" workbookViewId="0">
      <selection activeCell="AB1" sqref="AB1:AD22"/>
    </sheetView>
  </sheetViews>
  <sheetFormatPr defaultRowHeight="15" x14ac:dyDescent="0.25"/>
  <cols>
    <col min="2" max="2" width="18" customWidth="1"/>
    <col min="3" max="3" width="12.140625" customWidth="1"/>
    <col min="4" max="4" width="13.5703125" customWidth="1"/>
    <col min="5" max="5" width="18.42578125" customWidth="1"/>
    <col min="6" max="6" width="13.5703125" customWidth="1"/>
    <col min="7" max="7" width="22.85546875" customWidth="1"/>
    <col min="8" max="9" width="13.5703125" customWidth="1"/>
    <col min="10" max="10" width="13" customWidth="1"/>
    <col min="11" max="11" width="17.42578125" customWidth="1"/>
    <col min="12" max="12" width="21.5703125" customWidth="1"/>
    <col min="13" max="13" width="12.5703125" customWidth="1"/>
    <col min="14" max="14" width="15" customWidth="1"/>
    <col min="15" max="15" width="19.42578125" customWidth="1"/>
    <col min="17" max="17" width="19.140625" customWidth="1"/>
    <col min="18" max="18" width="13.5703125" customWidth="1"/>
    <col min="19" max="19" width="12.85546875" customWidth="1"/>
    <col min="29" max="29" width="22.85546875" customWidth="1"/>
    <col min="30" max="30" width="21.140625" customWidth="1"/>
  </cols>
  <sheetData>
    <row r="1" spans="1:30" x14ac:dyDescent="0.25">
      <c r="B1" t="str">
        <f ca="1">CELL("filename")</f>
        <v xml:space="preserve">C:\Users\Kim\Desktop\[O55-tryktabsberegner.xlsx]Betjening og totaludskrift </v>
      </c>
      <c r="AC1" s="1" t="s">
        <v>58</v>
      </c>
      <c r="AD1" s="1" t="s">
        <v>59</v>
      </c>
    </row>
    <row r="2" spans="1:30" x14ac:dyDescent="0.25">
      <c r="AB2">
        <v>0</v>
      </c>
      <c r="AC2">
        <f>0.01205*$L$3^(-1.194)*AD2^1.8</f>
        <v>0</v>
      </c>
      <c r="AD2">
        <f>AB2/(PI()*$L$3^2/4)/3600</f>
        <v>0</v>
      </c>
    </row>
    <row r="3" spans="1:30" x14ac:dyDescent="0.25">
      <c r="B3" t="s">
        <v>9</v>
      </c>
      <c r="C3" t="s">
        <v>10</v>
      </c>
      <c r="K3" t="s">
        <v>19</v>
      </c>
      <c r="L3">
        <v>5.5E-2</v>
      </c>
      <c r="AB3">
        <v>10</v>
      </c>
      <c r="AC3">
        <f>0.01205*$L$3^(-1.194)*AD3^1.8</f>
        <v>0.50954439140100494</v>
      </c>
      <c r="AD3">
        <f>AB3/(PI()*$L$3^2/4)/3600</f>
        <v>1.1691823183977621</v>
      </c>
    </row>
    <row r="4" spans="1:30" x14ac:dyDescent="0.25">
      <c r="B4" t="s">
        <v>11</v>
      </c>
      <c r="AB4">
        <v>20</v>
      </c>
      <c r="AC4">
        <f t="shared" ref="AC4:AC22" si="0">0.01205*$L$3^(-1.194)*AD4^1.8</f>
        <v>1.7743366278341024</v>
      </c>
      <c r="AD4">
        <f t="shared" ref="AD4:AD22" si="1">AB4/(PI()*$L$3^2/4)/3600</f>
        <v>2.3383646367955242</v>
      </c>
    </row>
    <row r="5" spans="1:30" x14ac:dyDescent="0.25">
      <c r="B5" t="s">
        <v>12</v>
      </c>
      <c r="C5" s="4">
        <f ca="1">TODAY()</f>
        <v>42265</v>
      </c>
      <c r="AB5">
        <v>30</v>
      </c>
      <c r="AC5">
        <f t="shared" si="0"/>
        <v>3.6812921448546803</v>
      </c>
      <c r="AD5">
        <f t="shared" si="1"/>
        <v>3.5075469551932859</v>
      </c>
    </row>
    <row r="6" spans="1:30" x14ac:dyDescent="0.25">
      <c r="AB6">
        <v>40</v>
      </c>
      <c r="AC6">
        <f t="shared" si="0"/>
        <v>6.1785990033516942</v>
      </c>
      <c r="AD6">
        <f t="shared" si="1"/>
        <v>4.6767292735910484</v>
      </c>
    </row>
    <row r="7" spans="1:30" ht="15.75" customHeight="1" x14ac:dyDescent="0.25">
      <c r="B7" s="1" t="s">
        <v>1</v>
      </c>
      <c r="F7" t="s">
        <v>13</v>
      </c>
      <c r="L7" s="1" t="s">
        <v>6</v>
      </c>
      <c r="AB7">
        <v>50</v>
      </c>
      <c r="AC7">
        <f t="shared" si="0"/>
        <v>9.2326853157119047</v>
      </c>
      <c r="AD7">
        <f t="shared" si="1"/>
        <v>5.8459115919888092</v>
      </c>
    </row>
    <row r="8" spans="1:30" ht="42" customHeight="1" x14ac:dyDescent="0.25">
      <c r="B8" s="3" t="s">
        <v>3</v>
      </c>
      <c r="C8" s="1" t="s">
        <v>8</v>
      </c>
      <c r="D8" s="1" t="s">
        <v>15</v>
      </c>
      <c r="E8" s="1" t="s">
        <v>16</v>
      </c>
      <c r="F8" s="1" t="s">
        <v>2</v>
      </c>
      <c r="G8" s="5" t="s">
        <v>56</v>
      </c>
      <c r="H8" s="6" t="s">
        <v>18</v>
      </c>
      <c r="I8" s="5" t="s">
        <v>17</v>
      </c>
      <c r="L8" s="3" t="s">
        <v>3</v>
      </c>
      <c r="M8" s="1" t="s">
        <v>8</v>
      </c>
      <c r="N8" s="1" t="s">
        <v>7</v>
      </c>
      <c r="O8" s="1" t="s">
        <v>0</v>
      </c>
      <c r="P8" s="1" t="s">
        <v>2</v>
      </c>
      <c r="Q8" s="5" t="s">
        <v>57</v>
      </c>
      <c r="R8" s="6" t="s">
        <v>18</v>
      </c>
      <c r="S8" s="5" t="s">
        <v>17</v>
      </c>
      <c r="AB8">
        <v>60</v>
      </c>
      <c r="AC8">
        <f t="shared" si="0"/>
        <v>12.819003801443358</v>
      </c>
      <c r="AD8">
        <f t="shared" si="1"/>
        <v>7.0150939103865717</v>
      </c>
    </row>
    <row r="9" spans="1:30" x14ac:dyDescent="0.25">
      <c r="A9">
        <v>1</v>
      </c>
      <c r="B9">
        <v>0</v>
      </c>
      <c r="C9">
        <v>0</v>
      </c>
      <c r="D9">
        <v>0</v>
      </c>
      <c r="E9">
        <v>0</v>
      </c>
      <c r="G9" s="7">
        <f>0.01205*$L$3^(-1.194)*I9^1.8</f>
        <v>0</v>
      </c>
      <c r="H9" s="8">
        <f>(B9/3600)/($L$3*PI()/4)</f>
        <v>0</v>
      </c>
      <c r="I9" s="7">
        <f>B9/(PI()*$L$3^2/4)/3600</f>
        <v>0</v>
      </c>
      <c r="K9">
        <v>1</v>
      </c>
      <c r="L9">
        <v>0</v>
      </c>
      <c r="M9" s="2">
        <v>0</v>
      </c>
      <c r="N9">
        <v>0</v>
      </c>
      <c r="O9">
        <v>0</v>
      </c>
      <c r="P9">
        <v>0</v>
      </c>
      <c r="Q9" s="7">
        <f>0.01205*$L$3^(-1.194)*S9^1.8</f>
        <v>0</v>
      </c>
      <c r="R9" s="8">
        <f>(L9/3600)/($L$3*PI()/4)</f>
        <v>0</v>
      </c>
      <c r="S9" s="7">
        <f>L9/(PI()*$L$3^2/4)/3600</f>
        <v>0</v>
      </c>
      <c r="AB9">
        <v>70</v>
      </c>
      <c r="AC9">
        <f t="shared" si="0"/>
        <v>16.91836918329102</v>
      </c>
      <c r="AD9">
        <f t="shared" si="1"/>
        <v>8.1842762287843325</v>
      </c>
    </row>
    <row r="10" spans="1:30" x14ac:dyDescent="0.25">
      <c r="A10">
        <v>2</v>
      </c>
      <c r="B10">
        <f>(C10/D10)*3600</f>
        <v>23.606557377049182</v>
      </c>
      <c r="C10" s="2">
        <v>0.4</v>
      </c>
      <c r="D10">
        <v>61</v>
      </c>
      <c r="E10">
        <v>12.5</v>
      </c>
      <c r="F10">
        <v>10</v>
      </c>
      <c r="G10" s="7">
        <f t="shared" ref="G10:G16" si="2">0.01205*$L$3^(-1.194)*I10^1.8</f>
        <v>2.3913371368713259</v>
      </c>
      <c r="H10" s="8">
        <f t="shared" ref="H10:H16" si="3">B10</f>
        <v>23.606557377049182</v>
      </c>
      <c r="I10" s="7">
        <f>B10/(PI()*$L$3^2/4)/3600</f>
        <v>2.7600369483488154</v>
      </c>
      <c r="K10">
        <v>2</v>
      </c>
      <c r="L10">
        <f>(3600*M10/N10)</f>
        <v>29.387755102040845</v>
      </c>
      <c r="M10" s="2">
        <f>6-5.6</f>
        <v>0.40000000000000036</v>
      </c>
      <c r="N10">
        <v>49</v>
      </c>
      <c r="O10">
        <v>24.6</v>
      </c>
      <c r="P10">
        <v>10</v>
      </c>
      <c r="Q10" s="7">
        <f t="shared" ref="Q10:Q16" si="4">0.01205*$L$3^(-1.194)*S10^1.8</f>
        <v>3.5471664437346702</v>
      </c>
      <c r="R10" s="8">
        <f t="shared" ref="R10:R16" si="5">L10</f>
        <v>29.387755102040845</v>
      </c>
      <c r="S10" s="7">
        <f>L10/(PI()*$L$3^2/4)/3600</f>
        <v>3.4359643642709772</v>
      </c>
      <c r="AB10">
        <v>80</v>
      </c>
      <c r="AC10">
        <f t="shared" si="0"/>
        <v>21.515131370994737</v>
      </c>
      <c r="AD10">
        <f t="shared" si="1"/>
        <v>9.3534585471820968</v>
      </c>
    </row>
    <row r="11" spans="1:30" x14ac:dyDescent="0.25">
      <c r="A11">
        <v>3</v>
      </c>
      <c r="B11">
        <f>(C11/D11)*3600</f>
        <v>45.714285714285715</v>
      </c>
      <c r="C11" s="2">
        <v>0.8</v>
      </c>
      <c r="D11">
        <v>63</v>
      </c>
      <c r="E11">
        <v>41.2</v>
      </c>
      <c r="F11">
        <v>15</v>
      </c>
      <c r="G11" s="7">
        <f t="shared" si="2"/>
        <v>7.857339428264571</v>
      </c>
      <c r="H11" s="8">
        <f t="shared" si="3"/>
        <v>45.714285714285715</v>
      </c>
      <c r="I11" s="7">
        <f t="shared" ref="I11:I16" si="6">B11/(PI()*$L$3^2/4)/3600</f>
        <v>5.3448334555326253</v>
      </c>
      <c r="K11">
        <v>3</v>
      </c>
      <c r="L11">
        <f t="shared" ref="L11:L15" si="7">(3600*M11/N11)</f>
        <v>47.710843373493958</v>
      </c>
      <c r="M11" s="2">
        <f>7.8-6.7</f>
        <v>1.0999999999999996</v>
      </c>
      <c r="N11">
        <v>83</v>
      </c>
      <c r="O11">
        <v>63.6</v>
      </c>
      <c r="P11">
        <v>15</v>
      </c>
      <c r="Q11" s="7">
        <f t="shared" si="4"/>
        <v>8.4858000442860728</v>
      </c>
      <c r="R11" s="8">
        <f t="shared" si="5"/>
        <v>47.710843373493958</v>
      </c>
      <c r="S11" s="7">
        <f t="shared" ref="S11:S16" si="8">L11/(PI()*$L$3^2/4)/3600</f>
        <v>5.5782674468134168</v>
      </c>
      <c r="AB11">
        <v>90</v>
      </c>
      <c r="AC11">
        <f t="shared" si="0"/>
        <v>26.596135850906837</v>
      </c>
      <c r="AD11">
        <f t="shared" si="1"/>
        <v>10.522640865579858</v>
      </c>
    </row>
    <row r="12" spans="1:30" x14ac:dyDescent="0.25">
      <c r="A12">
        <v>4</v>
      </c>
      <c r="B12">
        <f>(C12/D12)*3600</f>
        <v>69.230769230769241</v>
      </c>
      <c r="C12" s="2">
        <f>4.2-3.2</f>
        <v>1</v>
      </c>
      <c r="D12">
        <v>52</v>
      </c>
      <c r="E12">
        <v>91.1</v>
      </c>
      <c r="F12">
        <v>20</v>
      </c>
      <c r="G12" s="7">
        <f t="shared" si="2"/>
        <v>16.58519218861969</v>
      </c>
      <c r="H12" s="8">
        <f t="shared" si="3"/>
        <v>69.230769230769241</v>
      </c>
      <c r="I12" s="7">
        <f t="shared" si="6"/>
        <v>8.094339127369123</v>
      </c>
      <c r="K12">
        <v>4</v>
      </c>
      <c r="L12">
        <f t="shared" si="7"/>
        <v>65.954198473282403</v>
      </c>
      <c r="M12" s="2">
        <f>11.5-10.3</f>
        <v>1.1999999999999993</v>
      </c>
      <c r="N12">
        <v>65.5</v>
      </c>
      <c r="O12">
        <v>124.3</v>
      </c>
      <c r="P12">
        <v>20</v>
      </c>
      <c r="Q12" s="7">
        <f t="shared" si="4"/>
        <v>15.199119512303293</v>
      </c>
      <c r="R12" s="8">
        <f t="shared" si="5"/>
        <v>65.954198473282403</v>
      </c>
      <c r="S12" s="7">
        <f t="shared" si="8"/>
        <v>7.7112482679058454</v>
      </c>
      <c r="AB12">
        <v>100</v>
      </c>
      <c r="AC12">
        <f t="shared" si="0"/>
        <v>32.150077609315417</v>
      </c>
      <c r="AD12">
        <f t="shared" si="1"/>
        <v>11.691823183977618</v>
      </c>
    </row>
    <row r="13" spans="1:30" x14ac:dyDescent="0.25">
      <c r="A13">
        <v>5</v>
      </c>
      <c r="B13">
        <f t="shared" ref="B13:B16" si="9">(C13/D13)*3600</f>
        <v>87.804878048780495</v>
      </c>
      <c r="C13" s="2">
        <f>6.8-5.3</f>
        <v>1.5</v>
      </c>
      <c r="D13">
        <v>61.5</v>
      </c>
      <c r="E13">
        <v>144.30000000000001</v>
      </c>
      <c r="F13">
        <v>25</v>
      </c>
      <c r="G13" s="7">
        <f t="shared" si="2"/>
        <v>25.439910841545654</v>
      </c>
      <c r="H13" s="8">
        <f t="shared" si="3"/>
        <v>87.804878048780495</v>
      </c>
      <c r="I13" s="7">
        <f t="shared" si="6"/>
        <v>10.265991088370592</v>
      </c>
      <c r="K13">
        <v>5</v>
      </c>
      <c r="L13">
        <f t="shared" si="7"/>
        <v>83.478260869565219</v>
      </c>
      <c r="M13" s="2">
        <f>5-3.4</f>
        <v>1.6</v>
      </c>
      <c r="N13">
        <v>69</v>
      </c>
      <c r="O13">
        <v>191.7</v>
      </c>
      <c r="P13">
        <v>25</v>
      </c>
      <c r="Q13" s="7">
        <f t="shared" si="4"/>
        <v>23.228123822637102</v>
      </c>
      <c r="R13" s="8">
        <f t="shared" si="5"/>
        <v>83.478260869565219</v>
      </c>
      <c r="S13" s="7">
        <f t="shared" si="8"/>
        <v>9.7601306579291425</v>
      </c>
      <c r="AB13">
        <v>110</v>
      </c>
      <c r="AC13">
        <f t="shared" si="0"/>
        <v>38.167073295656422</v>
      </c>
      <c r="AD13">
        <f t="shared" si="1"/>
        <v>12.861005502375383</v>
      </c>
    </row>
    <row r="14" spans="1:30" x14ac:dyDescent="0.25">
      <c r="A14">
        <v>6</v>
      </c>
      <c r="B14">
        <f t="shared" si="9"/>
        <v>104.9006622516556</v>
      </c>
      <c r="C14" s="2">
        <f>10.5-8.3</f>
        <v>2.1999999999999993</v>
      </c>
      <c r="D14">
        <v>75.5</v>
      </c>
      <c r="E14">
        <v>211.8</v>
      </c>
      <c r="F14">
        <v>30</v>
      </c>
      <c r="G14" s="7">
        <f t="shared" si="2"/>
        <v>35.041512191041946</v>
      </c>
      <c r="H14" s="8">
        <f t="shared" si="3"/>
        <v>104.9006622516556</v>
      </c>
      <c r="I14" s="7">
        <f t="shared" si="6"/>
        <v>12.264799949285129</v>
      </c>
      <c r="K14">
        <v>6</v>
      </c>
      <c r="L14">
        <f t="shared" si="7"/>
        <v>100.4651162790698</v>
      </c>
      <c r="M14" s="2">
        <f>8.8-7</f>
        <v>1.8000000000000007</v>
      </c>
      <c r="N14">
        <v>64.5</v>
      </c>
      <c r="O14">
        <v>275.10000000000002</v>
      </c>
      <c r="P14">
        <v>30</v>
      </c>
      <c r="Q14" s="7">
        <f t="shared" si="4"/>
        <v>32.419741663896005</v>
      </c>
      <c r="R14" s="8">
        <f t="shared" si="5"/>
        <v>100.4651162790698</v>
      </c>
      <c r="S14" s="7">
        <f t="shared" si="8"/>
        <v>11.746203756926356</v>
      </c>
      <c r="AB14">
        <v>120</v>
      </c>
      <c r="AC14">
        <f t="shared" si="0"/>
        <v>44.638363920966697</v>
      </c>
      <c r="AD14">
        <f t="shared" si="1"/>
        <v>14.030187820773143</v>
      </c>
    </row>
    <row r="15" spans="1:30" x14ac:dyDescent="0.25">
      <c r="A15">
        <v>7</v>
      </c>
      <c r="B15">
        <f t="shared" si="9"/>
        <v>122.76633474287273</v>
      </c>
      <c r="C15" s="2">
        <v>2.5</v>
      </c>
      <c r="D15">
        <v>73.31</v>
      </c>
      <c r="E15">
        <v>279.5</v>
      </c>
      <c r="F15">
        <v>35</v>
      </c>
      <c r="G15" s="7">
        <f t="shared" si="2"/>
        <v>46.507687700783571</v>
      </c>
      <c r="H15" s="8">
        <f t="shared" si="3"/>
        <v>122.76633474287273</v>
      </c>
      <c r="I15" s="7">
        <f t="shared" si="6"/>
        <v>14.353622787586763</v>
      </c>
      <c r="K15">
        <v>7</v>
      </c>
      <c r="L15">
        <f t="shared" si="7"/>
        <v>117.15254237288138</v>
      </c>
      <c r="M15" s="2">
        <f>13-10.6</f>
        <v>2.4000000000000004</v>
      </c>
      <c r="N15">
        <v>73.75</v>
      </c>
      <c r="O15">
        <v>367.6</v>
      </c>
      <c r="P15">
        <v>35</v>
      </c>
      <c r="Q15" s="7">
        <f t="shared" si="4"/>
        <v>42.749901432964307</v>
      </c>
      <c r="R15" s="8">
        <f t="shared" si="5"/>
        <v>117.15254237288138</v>
      </c>
      <c r="S15" s="7">
        <f t="shared" si="8"/>
        <v>13.69726810977175</v>
      </c>
      <c r="AB15">
        <v>130</v>
      </c>
      <c r="AC15">
        <f t="shared" si="0"/>
        <v>51.556100284522245</v>
      </c>
      <c r="AD15">
        <f t="shared" si="1"/>
        <v>15.199370139170904</v>
      </c>
    </row>
    <row r="16" spans="1:30" x14ac:dyDescent="0.25">
      <c r="A16">
        <v>8</v>
      </c>
      <c r="B16">
        <f t="shared" si="9"/>
        <v>131.70731707317071</v>
      </c>
      <c r="C16" s="2">
        <v>3</v>
      </c>
      <c r="D16">
        <v>82</v>
      </c>
      <c r="E16">
        <v>322.5</v>
      </c>
      <c r="F16">
        <v>37.5</v>
      </c>
      <c r="G16" s="7">
        <f t="shared" si="2"/>
        <v>52.781271872352754</v>
      </c>
      <c r="H16" s="8">
        <f t="shared" si="3"/>
        <v>131.70731707317071</v>
      </c>
      <c r="I16" s="7">
        <f t="shared" si="6"/>
        <v>15.398986632555886</v>
      </c>
      <c r="K16">
        <v>8</v>
      </c>
      <c r="L16">
        <f>(3600*M16/N16)</f>
        <v>134.67625899280574</v>
      </c>
      <c r="M16" s="2">
        <f>11.5-8.9</f>
        <v>2.5999999999999996</v>
      </c>
      <c r="N16">
        <v>69.5</v>
      </c>
      <c r="O16">
        <v>476.8</v>
      </c>
      <c r="P16">
        <v>40</v>
      </c>
      <c r="Q16" s="7">
        <f t="shared" si="4"/>
        <v>54.942182239932968</v>
      </c>
      <c r="R16" s="8">
        <f t="shared" si="5"/>
        <v>134.67625899280574</v>
      </c>
      <c r="S16" s="7">
        <f t="shared" si="8"/>
        <v>15.746110072234606</v>
      </c>
      <c r="AB16">
        <v>140</v>
      </c>
      <c r="AC16">
        <f t="shared" si="0"/>
        <v>58.913183290263184</v>
      </c>
      <c r="AD16">
        <f t="shared" si="1"/>
        <v>16.368552457568665</v>
      </c>
    </row>
    <row r="17" spans="1:30" x14ac:dyDescent="0.25">
      <c r="C17" s="2"/>
      <c r="M17" s="2"/>
      <c r="AB17">
        <v>150</v>
      </c>
      <c r="AC17">
        <f t="shared" si="0"/>
        <v>66.703142066177961</v>
      </c>
      <c r="AD17">
        <f t="shared" si="1"/>
        <v>17.537734775966427</v>
      </c>
    </row>
    <row r="18" spans="1:30" x14ac:dyDescent="0.25">
      <c r="B18" s="1" t="s">
        <v>4</v>
      </c>
      <c r="L18" s="1" t="s">
        <v>14</v>
      </c>
      <c r="AB18">
        <v>160</v>
      </c>
      <c r="AC18">
        <f t="shared" si="0"/>
        <v>74.920038937638338</v>
      </c>
      <c r="AD18">
        <f t="shared" si="1"/>
        <v>18.706917094364194</v>
      </c>
    </row>
    <row r="19" spans="1:30" ht="45" x14ac:dyDescent="0.25">
      <c r="B19" s="3" t="s">
        <v>3</v>
      </c>
      <c r="C19" s="1" t="s">
        <v>8</v>
      </c>
      <c r="D19" s="1" t="s">
        <v>7</v>
      </c>
      <c r="E19" s="1" t="s">
        <v>0</v>
      </c>
      <c r="F19" s="1" t="s">
        <v>2</v>
      </c>
      <c r="G19" s="5" t="s">
        <v>56</v>
      </c>
      <c r="H19" s="6" t="s">
        <v>18</v>
      </c>
      <c r="I19" s="5" t="s">
        <v>17</v>
      </c>
      <c r="L19" s="3" t="s">
        <v>3</v>
      </c>
      <c r="M19" s="1" t="s">
        <v>8</v>
      </c>
      <c r="N19" s="1" t="s">
        <v>7</v>
      </c>
      <c r="O19" s="1" t="s">
        <v>0</v>
      </c>
      <c r="P19" s="1" t="s">
        <v>2</v>
      </c>
      <c r="Q19" s="5" t="s">
        <v>56</v>
      </c>
      <c r="R19" s="6" t="s">
        <v>18</v>
      </c>
      <c r="S19" s="5" t="s">
        <v>17</v>
      </c>
      <c r="AB19">
        <v>170</v>
      </c>
      <c r="AC19">
        <f t="shared" si="0"/>
        <v>83.558393982194474</v>
      </c>
      <c r="AD19">
        <f t="shared" si="1"/>
        <v>19.876099412761953</v>
      </c>
    </row>
    <row r="20" spans="1:30" x14ac:dyDescent="0.25">
      <c r="A20">
        <v>1</v>
      </c>
      <c r="B20">
        <v>0</v>
      </c>
      <c r="C20">
        <v>0</v>
      </c>
      <c r="D20">
        <v>0</v>
      </c>
      <c r="E20">
        <v>0</v>
      </c>
      <c r="F20">
        <v>0</v>
      </c>
      <c r="G20" s="7">
        <f>0.01205*$L$3^(-1.194)*I20^1.8</f>
        <v>0</v>
      </c>
      <c r="H20" s="8">
        <f>(B20/3600)/($L$3*PI()/4)</f>
        <v>0</v>
      </c>
      <c r="I20" s="7">
        <f>B20/(PI()*$L$3^2/4)/3600</f>
        <v>0</v>
      </c>
      <c r="K20">
        <v>1</v>
      </c>
      <c r="L20">
        <v>0</v>
      </c>
      <c r="M20" s="2">
        <v>0</v>
      </c>
      <c r="N20">
        <v>0</v>
      </c>
      <c r="O20">
        <v>0</v>
      </c>
      <c r="P20">
        <v>0</v>
      </c>
      <c r="Q20" s="7">
        <f>0.01205*$L$3^(-1.194)*S20^1.8</f>
        <v>0</v>
      </c>
      <c r="R20" s="8">
        <f>(L20/3600)/($L$3*PI()/4)</f>
        <v>0</v>
      </c>
      <c r="S20" s="7">
        <f>L20/(PI()*$L$3^2/4)/3600</f>
        <v>0</v>
      </c>
      <c r="AB20">
        <v>180</v>
      </c>
      <c r="AC20">
        <f t="shared" si="0"/>
        <v>92.61312418602877</v>
      </c>
      <c r="AD20">
        <f t="shared" si="1"/>
        <v>21.045281731159715</v>
      </c>
    </row>
    <row r="21" spans="1:30" x14ac:dyDescent="0.25">
      <c r="A21">
        <v>2</v>
      </c>
      <c r="B21">
        <f>(C21/D21)*3600</f>
        <v>24</v>
      </c>
      <c r="C21" s="2">
        <v>0.35</v>
      </c>
      <c r="D21">
        <v>52.5</v>
      </c>
      <c r="E21">
        <v>14.3</v>
      </c>
      <c r="F21">
        <v>10</v>
      </c>
      <c r="G21" s="7">
        <f t="shared" ref="G21:G27" si="10">0.01205*$L$3^(-1.194)*I21^1.8</f>
        <v>2.4635549896343147</v>
      </c>
      <c r="H21" s="8">
        <f t="shared" ref="H21:H27" si="11">B21</f>
        <v>24</v>
      </c>
      <c r="I21" s="7">
        <f>B21/(PI()*$L$3^2/4)/3600</f>
        <v>2.8060375641546287</v>
      </c>
      <c r="K21">
        <v>2</v>
      </c>
      <c r="L21">
        <f>M21/N21*3600</f>
        <v>29.690721649484562</v>
      </c>
      <c r="M21" s="2">
        <f>7.9-7.5</f>
        <v>0.40000000000000036</v>
      </c>
      <c r="N21">
        <v>48.5</v>
      </c>
      <c r="O21">
        <v>26.3</v>
      </c>
      <c r="P21">
        <v>10</v>
      </c>
      <c r="Q21" s="7">
        <f t="shared" ref="Q21:Q27" si="12">0.01205*$L$3^(-1.194)*S21^1.8</f>
        <v>3.6132614029249099</v>
      </c>
      <c r="R21" s="8">
        <f t="shared" ref="R21:R27" si="13">L21</f>
        <v>29.690721649484562</v>
      </c>
      <c r="S21" s="7">
        <f>L21/(PI()*$L$3^2/4)/3600</f>
        <v>3.4713866773046984</v>
      </c>
      <c r="AB21">
        <v>190</v>
      </c>
      <c r="AC21">
        <f t="shared" si="0"/>
        <v>102.07949370182365</v>
      </c>
      <c r="AD21">
        <f t="shared" si="1"/>
        <v>22.214464049557478</v>
      </c>
    </row>
    <row r="22" spans="1:30" x14ac:dyDescent="0.25">
      <c r="A22">
        <v>3</v>
      </c>
      <c r="B22">
        <f t="shared" ref="B22:B27" si="14">(C22/D22)*3600</f>
        <v>46.285714285714285</v>
      </c>
      <c r="C22" s="2">
        <v>0.9</v>
      </c>
      <c r="D22">
        <v>70</v>
      </c>
      <c r="E22">
        <v>44.5</v>
      </c>
      <c r="F22">
        <v>15</v>
      </c>
      <c r="G22" s="7">
        <f t="shared" si="10"/>
        <v>8.0350127822078878</v>
      </c>
      <c r="H22" s="8">
        <f t="shared" si="11"/>
        <v>46.285714285714285</v>
      </c>
      <c r="I22" s="7">
        <f t="shared" ref="I22:I27" si="15">B22/(PI()*$L$3^2/4)/3600</f>
        <v>5.411643873726784</v>
      </c>
      <c r="K22">
        <v>3</v>
      </c>
      <c r="L22">
        <f t="shared" ref="L22:L27" si="16">M22/N22*3600</f>
        <v>48</v>
      </c>
      <c r="M22" s="2">
        <f>1.2-0.6</f>
        <v>0.6</v>
      </c>
      <c r="N22">
        <v>45</v>
      </c>
      <c r="O22">
        <v>68.099999999999994</v>
      </c>
      <c r="P22">
        <v>15</v>
      </c>
      <c r="Q22" s="7">
        <f t="shared" si="12"/>
        <v>8.5785967357485156</v>
      </c>
      <c r="R22" s="8">
        <f t="shared" si="13"/>
        <v>48</v>
      </c>
      <c r="S22" s="7">
        <f t="shared" ref="S22:S27" si="17">L22/(PI()*$L$3^2/4)/3600</f>
        <v>5.6120751283092574</v>
      </c>
      <c r="AB22">
        <v>200</v>
      </c>
      <c r="AC22">
        <f t="shared" si="0"/>
        <v>111.95307269121459</v>
      </c>
      <c r="AD22">
        <f t="shared" si="1"/>
        <v>23.383646367955237</v>
      </c>
    </row>
    <row r="23" spans="1:30" x14ac:dyDescent="0.25">
      <c r="A23">
        <v>4</v>
      </c>
      <c r="B23">
        <f t="shared" si="14"/>
        <v>67.289719626168221</v>
      </c>
      <c r="C23" s="2">
        <v>1</v>
      </c>
      <c r="D23">
        <v>53.5</v>
      </c>
      <c r="E23">
        <v>88.7</v>
      </c>
      <c r="F23">
        <v>20</v>
      </c>
      <c r="G23" s="7">
        <f t="shared" si="10"/>
        <v>15.757587209315949</v>
      </c>
      <c r="H23" s="8">
        <f t="shared" si="11"/>
        <v>67.289719626168221</v>
      </c>
      <c r="I23" s="7">
        <f t="shared" si="15"/>
        <v>7.8673950396858743</v>
      </c>
      <c r="K23">
        <v>4</v>
      </c>
      <c r="L23">
        <f t="shared" si="16"/>
        <v>65.853658536585385</v>
      </c>
      <c r="M23" s="2">
        <f>3.2-2.3</f>
        <v>0.90000000000000036</v>
      </c>
      <c r="N23">
        <v>49.2</v>
      </c>
      <c r="O23">
        <v>128.6</v>
      </c>
      <c r="P23">
        <v>20</v>
      </c>
      <c r="Q23" s="7">
        <f t="shared" si="12"/>
        <v>15.157440043605737</v>
      </c>
      <c r="R23" s="8">
        <f t="shared" si="13"/>
        <v>65.853658536585385</v>
      </c>
      <c r="S23" s="7">
        <f t="shared" si="17"/>
        <v>7.6994933162779473</v>
      </c>
    </row>
    <row r="24" spans="1:30" x14ac:dyDescent="0.25">
      <c r="A24">
        <v>5</v>
      </c>
      <c r="B24">
        <f t="shared" si="14"/>
        <v>86.197183098591552</v>
      </c>
      <c r="C24" s="2">
        <v>1.7</v>
      </c>
      <c r="D24">
        <v>71</v>
      </c>
      <c r="E24">
        <v>143</v>
      </c>
      <c r="F24">
        <v>25</v>
      </c>
      <c r="G24" s="7">
        <f t="shared" si="10"/>
        <v>24.607616949725386</v>
      </c>
      <c r="H24" s="8">
        <f t="shared" si="11"/>
        <v>86.197183098591552</v>
      </c>
      <c r="I24" s="7">
        <f t="shared" si="15"/>
        <v>10.078022237456764</v>
      </c>
      <c r="K24">
        <v>5</v>
      </c>
      <c r="L24">
        <f t="shared" si="16"/>
        <v>83.07692307692308</v>
      </c>
      <c r="M24" s="2">
        <f>5.7-4.2</f>
        <v>1.5</v>
      </c>
      <c r="N24">
        <v>65</v>
      </c>
      <c r="O24">
        <v>203</v>
      </c>
      <c r="P24">
        <v>25</v>
      </c>
      <c r="Q24" s="7">
        <f t="shared" si="12"/>
        <v>23.02749789942246</v>
      </c>
      <c r="R24" s="8">
        <f t="shared" si="13"/>
        <v>83.07692307692308</v>
      </c>
      <c r="S24" s="7">
        <f t="shared" si="17"/>
        <v>9.7132069528429472</v>
      </c>
    </row>
    <row r="25" spans="1:30" x14ac:dyDescent="0.25">
      <c r="A25">
        <v>6</v>
      </c>
      <c r="B25">
        <f t="shared" si="14"/>
        <v>104.34782608695652</v>
      </c>
      <c r="C25" s="2">
        <v>2</v>
      </c>
      <c r="D25">
        <v>69</v>
      </c>
      <c r="E25">
        <v>205</v>
      </c>
      <c r="F25">
        <v>30</v>
      </c>
      <c r="G25" s="7">
        <f t="shared" si="10"/>
        <v>34.70980356751798</v>
      </c>
      <c r="H25" s="8">
        <f t="shared" si="11"/>
        <v>104.34782608695652</v>
      </c>
      <c r="I25" s="7">
        <f t="shared" si="15"/>
        <v>12.200163322411429</v>
      </c>
      <c r="K25">
        <v>6</v>
      </c>
      <c r="L25">
        <f t="shared" si="16"/>
        <v>100.13245033112581</v>
      </c>
      <c r="M25" s="2">
        <f>9.7-7.6</f>
        <v>2.0999999999999996</v>
      </c>
      <c r="N25">
        <v>75.5</v>
      </c>
      <c r="O25">
        <v>283.5</v>
      </c>
      <c r="P25">
        <v>30</v>
      </c>
      <c r="Q25" s="7">
        <f t="shared" si="12"/>
        <v>32.226767406225683</v>
      </c>
      <c r="R25" s="8">
        <f t="shared" si="13"/>
        <v>100.13245033112581</v>
      </c>
      <c r="S25" s="7">
        <f t="shared" si="17"/>
        <v>11.707309042499441</v>
      </c>
    </row>
    <row r="26" spans="1:30" x14ac:dyDescent="0.25">
      <c r="A26">
        <v>7</v>
      </c>
      <c r="B26">
        <f t="shared" si="14"/>
        <v>122.03389830508475</v>
      </c>
      <c r="C26" s="2">
        <v>3</v>
      </c>
      <c r="D26">
        <v>88.5</v>
      </c>
      <c r="E26">
        <v>280</v>
      </c>
      <c r="F26">
        <v>35</v>
      </c>
      <c r="G26" s="7">
        <f t="shared" si="10"/>
        <v>46.009434802255207</v>
      </c>
      <c r="H26" s="8">
        <f t="shared" si="11"/>
        <v>122.03389830508475</v>
      </c>
      <c r="I26" s="7">
        <f t="shared" si="15"/>
        <v>14.26798761434557</v>
      </c>
      <c r="K26">
        <v>7</v>
      </c>
      <c r="L26">
        <f t="shared" si="16"/>
        <v>116.88311688311687</v>
      </c>
      <c r="M26" s="2">
        <v>2.5</v>
      </c>
      <c r="N26">
        <v>77</v>
      </c>
      <c r="O26">
        <v>387.4</v>
      </c>
      <c r="P26">
        <v>35</v>
      </c>
      <c r="Q26" s="7">
        <f t="shared" si="12"/>
        <v>42.573096316993698</v>
      </c>
      <c r="R26" s="8">
        <f t="shared" si="13"/>
        <v>116.88311688311687</v>
      </c>
      <c r="S26" s="7">
        <f t="shared" si="17"/>
        <v>13.665767357895918</v>
      </c>
    </row>
    <row r="27" spans="1:30" x14ac:dyDescent="0.25">
      <c r="A27">
        <v>8</v>
      </c>
      <c r="B27">
        <f t="shared" si="14"/>
        <v>130.90909090909091</v>
      </c>
      <c r="C27" s="2">
        <v>3</v>
      </c>
      <c r="D27">
        <v>82.5</v>
      </c>
      <c r="E27">
        <v>323</v>
      </c>
      <c r="F27">
        <v>37.5</v>
      </c>
      <c r="G27" s="7">
        <f t="shared" si="10"/>
        <v>52.206872612562293</v>
      </c>
      <c r="H27" s="8">
        <f t="shared" si="11"/>
        <v>130.90909090909091</v>
      </c>
      <c r="I27" s="7">
        <f t="shared" si="15"/>
        <v>15.305659440843428</v>
      </c>
      <c r="K27">
        <v>8</v>
      </c>
      <c r="L27">
        <f t="shared" si="16"/>
        <v>132.67813267813267</v>
      </c>
      <c r="M27" s="2">
        <v>3</v>
      </c>
      <c r="N27">
        <v>81.400000000000006</v>
      </c>
      <c r="O27">
        <v>505.6</v>
      </c>
      <c r="P27">
        <v>40</v>
      </c>
      <c r="Q27" s="7">
        <f t="shared" si="12"/>
        <v>53.483627662385643</v>
      </c>
      <c r="R27" s="8">
        <f t="shared" si="13"/>
        <v>132.67813267813267</v>
      </c>
      <c r="S27" s="7">
        <f t="shared" si="17"/>
        <v>15.512492676530503</v>
      </c>
    </row>
    <row r="28" spans="1:30" x14ac:dyDescent="0.25">
      <c r="C28" s="2"/>
    </row>
    <row r="29" spans="1:30" x14ac:dyDescent="0.25">
      <c r="C29" s="2"/>
      <c r="M29" s="2"/>
    </row>
    <row r="30" spans="1:30" x14ac:dyDescent="0.25">
      <c r="B30" s="1" t="s">
        <v>5</v>
      </c>
      <c r="M30" s="2"/>
    </row>
    <row r="31" spans="1:30" ht="30" x14ac:dyDescent="0.25">
      <c r="B31" s="3" t="s">
        <v>3</v>
      </c>
      <c r="C31" s="1" t="s">
        <v>8</v>
      </c>
      <c r="D31" s="1" t="s">
        <v>7</v>
      </c>
      <c r="E31" s="1" t="s">
        <v>0</v>
      </c>
      <c r="F31" s="1" t="s">
        <v>2</v>
      </c>
      <c r="G31" s="5" t="s">
        <v>57</v>
      </c>
      <c r="H31" s="6" t="s">
        <v>20</v>
      </c>
      <c r="I31" s="5" t="s">
        <v>17</v>
      </c>
      <c r="L31" s="9"/>
      <c r="M31" s="10"/>
      <c r="N31" s="9"/>
    </row>
    <row r="32" spans="1:30" x14ac:dyDescent="0.25">
      <c r="A32">
        <v>1</v>
      </c>
      <c r="B32">
        <v>0</v>
      </c>
      <c r="C32" s="2">
        <v>0</v>
      </c>
      <c r="D32">
        <v>0</v>
      </c>
      <c r="E32">
        <v>0</v>
      </c>
      <c r="F32">
        <v>0</v>
      </c>
      <c r="G32" s="7">
        <f>0.01205*$L$3^(-1.194)*I32^1.8</f>
        <v>0</v>
      </c>
      <c r="H32" s="8">
        <f>(B32/3600)/($L$3*PI()/4)</f>
        <v>0</v>
      </c>
      <c r="I32" s="7">
        <f>B32/(PI()*$L$3^2/4)/3600</f>
        <v>0</v>
      </c>
      <c r="L32" s="11"/>
      <c r="M32" s="12"/>
      <c r="N32" s="11"/>
    </row>
    <row r="33" spans="1:14" x14ac:dyDescent="0.25">
      <c r="A33">
        <v>2</v>
      </c>
      <c r="B33">
        <f t="shared" ref="B33:B39" si="18">(C33/D33)*3600</f>
        <v>27.692307692307693</v>
      </c>
      <c r="C33" s="2">
        <v>0.5</v>
      </c>
      <c r="D33">
        <v>65</v>
      </c>
      <c r="E33">
        <v>18.100000000000001</v>
      </c>
      <c r="F33">
        <v>10</v>
      </c>
      <c r="G33" s="7">
        <f t="shared" ref="G33:G39" si="19">0.01205*$L$3^(-1.194)*I33^1.8</f>
        <v>3.1873407328046519</v>
      </c>
      <c r="H33" s="8">
        <f t="shared" ref="H33:H39" si="20">B33</f>
        <v>27.692307692307693</v>
      </c>
      <c r="I33" s="7">
        <f>B33/(PI()*$L$3^2/4)/3600</f>
        <v>3.2377356509476485</v>
      </c>
      <c r="L33" s="11"/>
      <c r="M33" s="12"/>
      <c r="N33" s="11"/>
    </row>
    <row r="34" spans="1:14" x14ac:dyDescent="0.25">
      <c r="A34">
        <v>3</v>
      </c>
      <c r="B34">
        <f t="shared" si="18"/>
        <v>47.647058823529427</v>
      </c>
      <c r="C34" s="2">
        <f>10.5-9.6</f>
        <v>0.90000000000000036</v>
      </c>
      <c r="D34">
        <v>68</v>
      </c>
      <c r="E34">
        <v>52.6</v>
      </c>
      <c r="F34">
        <v>15</v>
      </c>
      <c r="G34" s="7">
        <f t="shared" si="19"/>
        <v>8.4653905908079441</v>
      </c>
      <c r="H34" s="8">
        <f t="shared" si="20"/>
        <v>47.647058823529427</v>
      </c>
      <c r="I34" s="7">
        <f t="shared" ref="I34:I39" si="21">B34/(PI()*$L$3^2/4)/3600</f>
        <v>5.5708098700128668</v>
      </c>
      <c r="L34" s="11"/>
      <c r="M34" s="12"/>
      <c r="N34" s="11"/>
    </row>
    <row r="35" spans="1:14" x14ac:dyDescent="0.25">
      <c r="A35">
        <v>4</v>
      </c>
      <c r="B35">
        <f t="shared" si="18"/>
        <v>66.666666666666657</v>
      </c>
      <c r="C35" s="2">
        <f>2.85-1.6</f>
        <v>1.25</v>
      </c>
      <c r="D35">
        <v>67.5</v>
      </c>
      <c r="E35">
        <v>99.5</v>
      </c>
      <c r="F35">
        <v>20</v>
      </c>
      <c r="G35" s="7">
        <f t="shared" si="19"/>
        <v>15.495934048496778</v>
      </c>
      <c r="H35" s="8">
        <f t="shared" si="20"/>
        <v>66.666666666666657</v>
      </c>
      <c r="I35" s="7">
        <f t="shared" si="21"/>
        <v>7.7945487893184113</v>
      </c>
      <c r="L35" s="11"/>
      <c r="M35" s="12"/>
      <c r="N35" s="11"/>
    </row>
    <row r="36" spans="1:14" x14ac:dyDescent="0.25">
      <c r="A36">
        <v>5</v>
      </c>
      <c r="B36">
        <f t="shared" si="18"/>
        <v>85.039370078740163</v>
      </c>
      <c r="C36" s="2">
        <f>6.3-4.8</f>
        <v>1.5</v>
      </c>
      <c r="D36">
        <v>63.5</v>
      </c>
      <c r="E36">
        <v>158.30000000000001</v>
      </c>
      <c r="F36">
        <v>25</v>
      </c>
      <c r="G36" s="7">
        <f t="shared" si="19"/>
        <v>24.015856936233586</v>
      </c>
      <c r="H36" s="8">
        <f t="shared" si="20"/>
        <v>85.039370078740163</v>
      </c>
      <c r="I36" s="7">
        <f t="shared" si="21"/>
        <v>9.9426527863746674</v>
      </c>
      <c r="L36" s="11"/>
      <c r="M36" s="12"/>
      <c r="N36" s="11"/>
    </row>
    <row r="37" spans="1:14" x14ac:dyDescent="0.25">
      <c r="A37">
        <v>6</v>
      </c>
      <c r="B37">
        <f t="shared" si="18"/>
        <v>102.85714285714285</v>
      </c>
      <c r="C37" s="2">
        <f>10-8</f>
        <v>2</v>
      </c>
      <c r="D37">
        <v>70</v>
      </c>
      <c r="E37">
        <v>234.8</v>
      </c>
      <c r="F37">
        <v>30</v>
      </c>
      <c r="G37" s="7">
        <f t="shared" si="19"/>
        <v>33.822370855828176</v>
      </c>
      <c r="H37" s="8">
        <f t="shared" si="20"/>
        <v>102.85714285714285</v>
      </c>
      <c r="I37" s="7">
        <f t="shared" si="21"/>
        <v>12.025875274948408</v>
      </c>
      <c r="L37" s="11"/>
      <c r="M37" s="12"/>
      <c r="N37" s="11"/>
    </row>
    <row r="38" spans="1:14" x14ac:dyDescent="0.25">
      <c r="A38">
        <v>7</v>
      </c>
      <c r="B38">
        <f t="shared" si="18"/>
        <v>120</v>
      </c>
      <c r="C38" s="2">
        <f>3.8-1.5</f>
        <v>2.2999999999999998</v>
      </c>
      <c r="D38">
        <v>69</v>
      </c>
      <c r="E38">
        <v>322.89999999999998</v>
      </c>
      <c r="F38">
        <v>35</v>
      </c>
      <c r="G38" s="7">
        <f t="shared" si="19"/>
        <v>44.638363920966697</v>
      </c>
      <c r="H38" s="8">
        <f t="shared" si="20"/>
        <v>120</v>
      </c>
      <c r="I38" s="7">
        <f t="shared" si="21"/>
        <v>14.030187820773143</v>
      </c>
      <c r="L38" s="11"/>
      <c r="M38" s="11"/>
      <c r="N38" s="11"/>
    </row>
    <row r="39" spans="1:14" x14ac:dyDescent="0.25">
      <c r="A39">
        <v>8</v>
      </c>
      <c r="B39">
        <f t="shared" si="18"/>
        <v>129.03225806451613</v>
      </c>
      <c r="C39" s="2">
        <f>10-7.5</f>
        <v>2.5</v>
      </c>
      <c r="D39">
        <v>69.75</v>
      </c>
      <c r="E39">
        <v>366.2</v>
      </c>
      <c r="F39">
        <v>37.5</v>
      </c>
      <c r="G39" s="7">
        <f t="shared" si="19"/>
        <v>50.867332200613255</v>
      </c>
      <c r="H39" s="8">
        <f t="shared" si="20"/>
        <v>129.03225806451613</v>
      </c>
      <c r="I39" s="7">
        <f t="shared" si="21"/>
        <v>15.086223463196928</v>
      </c>
      <c r="L39" s="11"/>
      <c r="M39" s="11"/>
      <c r="N39" s="11"/>
    </row>
    <row r="40" spans="1:14" x14ac:dyDescent="0.25">
      <c r="C40" s="2"/>
    </row>
    <row r="41" spans="1:14" x14ac:dyDescent="0.25">
      <c r="B41" s="3"/>
      <c r="C41" s="1"/>
      <c r="D41" s="1"/>
      <c r="E41" s="1"/>
      <c r="F41" s="1"/>
      <c r="G41" s="1"/>
      <c r="H41" s="1"/>
      <c r="I41" s="1"/>
    </row>
    <row r="42" spans="1:14" x14ac:dyDescent="0.25">
      <c r="C42" s="2"/>
    </row>
    <row r="43" spans="1:14" x14ac:dyDescent="0.25">
      <c r="C43" s="2"/>
    </row>
    <row r="44" spans="1:14" x14ac:dyDescent="0.25">
      <c r="C44" s="2"/>
    </row>
    <row r="45" spans="1:14" x14ac:dyDescent="0.25">
      <c r="C45" s="2"/>
    </row>
    <row r="46" spans="1:14" x14ac:dyDescent="0.25">
      <c r="C46" s="2"/>
    </row>
    <row r="47" spans="1:14" x14ac:dyDescent="0.25">
      <c r="C47" s="2"/>
    </row>
    <row r="48" spans="1:14" x14ac:dyDescent="0.25">
      <c r="C48" s="2"/>
    </row>
    <row r="49" spans="3:16" x14ac:dyDescent="0.25">
      <c r="C49" s="2"/>
    </row>
    <row r="50" spans="3:16" x14ac:dyDescent="0.25">
      <c r="C50" s="2"/>
    </row>
    <row r="51" spans="3:16" x14ac:dyDescent="0.25">
      <c r="C51" s="2"/>
    </row>
    <row r="54" spans="3:16" x14ac:dyDescent="0.25">
      <c r="L54" s="1"/>
    </row>
    <row r="55" spans="3:16" x14ac:dyDescent="0.25">
      <c r="L55" s="3"/>
      <c r="M55" s="1"/>
      <c r="N55" s="1"/>
      <c r="O55" s="1"/>
      <c r="P55" s="1"/>
    </row>
    <row r="56" spans="3:16" x14ac:dyDescent="0.25">
      <c r="M56" s="2"/>
    </row>
    <row r="57" spans="3:16" x14ac:dyDescent="0.25">
      <c r="M57" s="2"/>
    </row>
    <row r="58" spans="3:16" x14ac:dyDescent="0.25">
      <c r="M58" s="2"/>
    </row>
    <row r="59" spans="3:16" x14ac:dyDescent="0.25">
      <c r="M59" s="2"/>
    </row>
    <row r="60" spans="3:16" x14ac:dyDescent="0.25">
      <c r="M60" s="2"/>
    </row>
    <row r="61" spans="3:16" x14ac:dyDescent="0.25">
      <c r="M61" s="2"/>
    </row>
    <row r="62" spans="3:16" x14ac:dyDescent="0.25">
      <c r="M62" s="2"/>
    </row>
    <row r="63" spans="3:16" x14ac:dyDescent="0.25">
      <c r="M63" s="2"/>
    </row>
    <row r="64" spans="3:16" x14ac:dyDescent="0.25">
      <c r="M64" s="2"/>
    </row>
    <row r="65" spans="2:13" x14ac:dyDescent="0.25">
      <c r="C65" s="2"/>
      <c r="M65" s="2"/>
    </row>
    <row r="66" spans="2:13" x14ac:dyDescent="0.25">
      <c r="C66" s="2"/>
      <c r="M66" s="2"/>
    </row>
    <row r="67" spans="2:13" x14ac:dyDescent="0.25">
      <c r="K67" t="s">
        <v>21</v>
      </c>
    </row>
    <row r="68" spans="2:13" x14ac:dyDescent="0.25">
      <c r="B68" s="1"/>
    </row>
    <row r="69" spans="2:13" x14ac:dyDescent="0.25">
      <c r="B69" s="3"/>
      <c r="C69" s="1"/>
      <c r="D69" s="1"/>
      <c r="E69" s="1"/>
      <c r="F69" s="1"/>
      <c r="G69" s="1"/>
      <c r="H69" s="1"/>
      <c r="I69" s="1"/>
    </row>
    <row r="70" spans="2:13" x14ac:dyDescent="0.25">
      <c r="C70" s="2"/>
    </row>
    <row r="71" spans="2:13" x14ac:dyDescent="0.25">
      <c r="C71" s="2"/>
    </row>
    <row r="72" spans="2:13" x14ac:dyDescent="0.25">
      <c r="C72" s="2"/>
    </row>
    <row r="73" spans="2:13" x14ac:dyDescent="0.25">
      <c r="C73" s="2"/>
    </row>
    <row r="74" spans="2:13" x14ac:dyDescent="0.25">
      <c r="C74" s="2"/>
    </row>
    <row r="75" spans="2:13" x14ac:dyDescent="0.25">
      <c r="C75" s="2"/>
    </row>
    <row r="76" spans="2:13" x14ac:dyDescent="0.25">
      <c r="C76" s="2"/>
    </row>
    <row r="77" spans="2:13" x14ac:dyDescent="0.25">
      <c r="C77" s="2"/>
    </row>
    <row r="78" spans="2:13" x14ac:dyDescent="0.25">
      <c r="C78" s="2"/>
    </row>
    <row r="82" spans="2:16" x14ac:dyDescent="0.25">
      <c r="B82" s="1"/>
      <c r="L82" s="1"/>
    </row>
    <row r="83" spans="2:16" x14ac:dyDescent="0.25">
      <c r="B83" s="3"/>
      <c r="C83" s="1"/>
      <c r="D83" s="1"/>
      <c r="E83" s="1"/>
      <c r="F83" s="1"/>
      <c r="G83" s="1"/>
      <c r="H83" s="1"/>
      <c r="I83" s="1"/>
      <c r="L83" s="3"/>
      <c r="M83" s="1"/>
      <c r="N83" s="1"/>
      <c r="O83" s="1"/>
      <c r="P83" s="1"/>
    </row>
    <row r="84" spans="2:16" x14ac:dyDescent="0.25">
      <c r="C84" s="2"/>
    </row>
    <row r="85" spans="2:16" x14ac:dyDescent="0.25">
      <c r="C85" s="2"/>
    </row>
    <row r="86" spans="2:16" x14ac:dyDescent="0.25">
      <c r="C86" s="2"/>
    </row>
    <row r="87" spans="2:16" x14ac:dyDescent="0.25">
      <c r="C87" s="2"/>
    </row>
    <row r="88" spans="2:16" x14ac:dyDescent="0.25">
      <c r="C88" s="2"/>
      <c r="M88" s="2"/>
    </row>
    <row r="89" spans="2:16" x14ac:dyDescent="0.25">
      <c r="C89" s="2"/>
      <c r="M89" s="2"/>
    </row>
    <row r="90" spans="2:16" x14ac:dyDescent="0.25">
      <c r="C90" s="2"/>
      <c r="M90" s="2"/>
    </row>
    <row r="91" spans="2:16" x14ac:dyDescent="0.25">
      <c r="C91" s="2"/>
      <c r="M91" s="2"/>
    </row>
    <row r="92" spans="2:16" x14ac:dyDescent="0.25">
      <c r="C92" s="2"/>
      <c r="M92" s="2"/>
    </row>
    <row r="93" spans="2:16" x14ac:dyDescent="0.25">
      <c r="M93" s="2"/>
    </row>
    <row r="94" spans="2:16" x14ac:dyDescent="0.25">
      <c r="M94" s="2"/>
    </row>
    <row r="95" spans="2:16" x14ac:dyDescent="0.25">
      <c r="M95" s="2"/>
    </row>
    <row r="96" spans="2:16" x14ac:dyDescent="0.25">
      <c r="L96" s="1"/>
      <c r="M96" s="2"/>
    </row>
    <row r="97" spans="12:16" x14ac:dyDescent="0.25">
      <c r="L97" s="3"/>
      <c r="M97" s="1"/>
      <c r="N97" s="1"/>
      <c r="O97" s="1"/>
      <c r="P97" s="1"/>
    </row>
    <row r="102" spans="12:16" x14ac:dyDescent="0.25">
      <c r="M102" s="2"/>
    </row>
    <row r="103" spans="12:16" x14ac:dyDescent="0.25">
      <c r="M103" s="2"/>
    </row>
    <row r="104" spans="12:16" x14ac:dyDescent="0.25">
      <c r="M104" s="2"/>
    </row>
    <row r="105" spans="12:16" x14ac:dyDescent="0.25">
      <c r="M105" s="2"/>
    </row>
    <row r="106" spans="12:16" x14ac:dyDescent="0.25">
      <c r="M106" s="2"/>
    </row>
    <row r="107" spans="12:16" x14ac:dyDescent="0.25">
      <c r="M107" s="2"/>
    </row>
    <row r="108" spans="12:16" x14ac:dyDescent="0.25">
      <c r="M108" s="2"/>
    </row>
    <row r="109" spans="12:16" x14ac:dyDescent="0.25">
      <c r="M109" s="2"/>
    </row>
    <row r="110" spans="12:16" x14ac:dyDescent="0.25">
      <c r="M110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opLeftCell="A11" zoomScale="70" zoomScaleNormal="70" workbookViewId="0">
      <selection activeCell="AY20" sqref="AY20"/>
    </sheetView>
  </sheetViews>
  <sheetFormatPr defaultRowHeight="15" x14ac:dyDescent="0.25"/>
  <cols>
    <col min="1" max="1" width="16.85546875" customWidth="1"/>
    <col min="2" max="2" width="17.42578125" customWidth="1"/>
    <col min="4" max="4" width="15.140625" customWidth="1"/>
    <col min="5" max="5" width="19" customWidth="1"/>
    <col min="7" max="7" width="16.7109375" customWidth="1"/>
    <col min="8" max="9" width="13.7109375" customWidth="1"/>
    <col min="10" max="10" width="15" customWidth="1"/>
    <col min="11" max="11" width="13.7109375" customWidth="1"/>
    <col min="13" max="13" width="15.7109375" customWidth="1"/>
    <col min="14" max="14" width="18.42578125" customWidth="1"/>
    <col min="16" max="16" width="15" customWidth="1"/>
    <col min="17" max="17" width="13.5703125" customWidth="1"/>
    <col min="18" max="18" width="7.140625" customWidth="1"/>
    <col min="19" max="19" width="16" customWidth="1"/>
    <col min="20" max="20" width="15.140625" customWidth="1"/>
    <col min="21" max="21" width="6.42578125" customWidth="1"/>
    <col min="22" max="22" width="13.85546875" customWidth="1"/>
    <col min="23" max="23" width="11.7109375" customWidth="1"/>
    <col min="25" max="25" width="17.7109375" customWidth="1"/>
    <col min="26" max="26" width="18" customWidth="1"/>
    <col min="28" max="28" width="13.7109375" customWidth="1"/>
    <col min="29" max="29" width="12.5703125" customWidth="1"/>
    <col min="31" max="31" width="12" customWidth="1"/>
    <col min="32" max="32" width="11" customWidth="1"/>
    <col min="33" max="33" width="6" customWidth="1"/>
    <col min="34" max="35" width="12.7109375" customWidth="1"/>
    <col min="36" max="36" width="5.5703125" customWidth="1"/>
    <col min="37" max="37" width="13.5703125" customWidth="1"/>
    <col min="38" max="38" width="14" customWidth="1"/>
    <col min="39" max="39" width="6.28515625" customWidth="1"/>
    <col min="40" max="40" width="12.42578125" customWidth="1"/>
    <col min="41" max="41" width="12.85546875" customWidth="1"/>
    <col min="42" max="42" width="9.140625" customWidth="1"/>
    <col min="43" max="43" width="11.7109375" customWidth="1"/>
    <col min="44" max="44" width="9.140625" customWidth="1"/>
    <col min="49" max="49" width="12" customWidth="1"/>
    <col min="50" max="50" width="16.5703125" customWidth="1"/>
    <col min="52" max="52" width="10.7109375" customWidth="1"/>
  </cols>
  <sheetData>
    <row r="1" spans="1:53" ht="15" customHeight="1" x14ac:dyDescent="0.25">
      <c r="A1" s="62" t="s">
        <v>23</v>
      </c>
      <c r="B1" s="62"/>
      <c r="C1" s="62"/>
      <c r="P1" s="25" t="s">
        <v>43</v>
      </c>
      <c r="Q1" s="25"/>
      <c r="R1" s="25"/>
    </row>
    <row r="2" spans="1:53" ht="15.75" thickBot="1" x14ac:dyDescent="0.3">
      <c r="AE2" t="s">
        <v>42</v>
      </c>
      <c r="AU2" t="s">
        <v>55</v>
      </c>
      <c r="AX2" t="str">
        <f>"Permavent 13 Marts 2013                                                                                                                               "&amp;" " &amp; AX5&amp;" stk  "&amp;"ligeud + "&amp;AX6&amp;" stk 45grader  + "&amp;AX7&amp;" stk 90grader  + "&amp;AX8&amp;" stk 135grader  + "&amp;AX9&amp;" stk 165grader "</f>
        <v xml:space="preserve">Permavent 13 Marts 2013                                                                                                                                0 stk  ligeud + 2 stk 45grader  + 1 stk 90grader  + 0 stk 135grader  + 0 stk 165grader </v>
      </c>
    </row>
    <row r="3" spans="1:53" ht="30" customHeight="1" x14ac:dyDescent="0.25">
      <c r="A3" s="58" t="s">
        <v>34</v>
      </c>
      <c r="B3" s="59"/>
      <c r="C3" s="13"/>
      <c r="D3" s="58" t="s">
        <v>33</v>
      </c>
      <c r="E3" s="59"/>
      <c r="F3" s="13"/>
      <c r="G3" s="58" t="s">
        <v>32</v>
      </c>
      <c r="H3" s="59"/>
      <c r="I3" s="14"/>
      <c r="J3" s="58" t="s">
        <v>31</v>
      </c>
      <c r="K3" s="59"/>
      <c r="L3" s="13"/>
      <c r="M3" s="58" t="s">
        <v>35</v>
      </c>
      <c r="N3" s="60"/>
      <c r="P3" s="61" t="s">
        <v>25</v>
      </c>
      <c r="Q3" s="59"/>
      <c r="R3" s="13"/>
      <c r="S3" s="58" t="s">
        <v>26</v>
      </c>
      <c r="T3" s="59"/>
      <c r="U3" s="13"/>
      <c r="V3" s="58" t="s">
        <v>27</v>
      </c>
      <c r="W3" s="59"/>
      <c r="X3" s="14"/>
      <c r="Y3" s="58" t="s">
        <v>28</v>
      </c>
      <c r="Z3" s="59"/>
      <c r="AA3" s="13"/>
      <c r="AB3" s="58" t="s">
        <v>29</v>
      </c>
      <c r="AC3" s="60"/>
      <c r="AE3" s="61" t="s">
        <v>36</v>
      </c>
      <c r="AF3" s="59"/>
      <c r="AG3" s="13"/>
      <c r="AH3" s="58" t="s">
        <v>37</v>
      </c>
      <c r="AI3" s="59"/>
      <c r="AJ3" s="13"/>
      <c r="AK3" s="58" t="s">
        <v>38</v>
      </c>
      <c r="AL3" s="59"/>
      <c r="AM3" s="14"/>
      <c r="AN3" s="58" t="s">
        <v>39</v>
      </c>
      <c r="AO3" s="59"/>
      <c r="AP3" s="13"/>
      <c r="AQ3" s="58" t="s">
        <v>40</v>
      </c>
      <c r="AR3" s="60"/>
      <c r="AU3" t="s">
        <v>52</v>
      </c>
    </row>
    <row r="4" spans="1:53" ht="45" x14ac:dyDescent="0.25">
      <c r="A4" s="26" t="s">
        <v>22</v>
      </c>
      <c r="B4" s="27" t="s">
        <v>24</v>
      </c>
      <c r="C4" s="11"/>
      <c r="D4" s="26" t="s">
        <v>22</v>
      </c>
      <c r="E4" s="27" t="s">
        <v>24</v>
      </c>
      <c r="F4" s="11"/>
      <c r="G4" s="26" t="s">
        <v>22</v>
      </c>
      <c r="H4" s="27" t="s">
        <v>24</v>
      </c>
      <c r="I4" s="16"/>
      <c r="J4" s="26" t="s">
        <v>22</v>
      </c>
      <c r="K4" s="27" t="s">
        <v>24</v>
      </c>
      <c r="L4" s="11"/>
      <c r="M4" s="26" t="s">
        <v>22</v>
      </c>
      <c r="N4" s="17" t="s">
        <v>24</v>
      </c>
      <c r="P4" s="15" t="s">
        <v>22</v>
      </c>
      <c r="Q4" s="27" t="s">
        <v>24</v>
      </c>
      <c r="R4" s="11"/>
      <c r="S4" s="26" t="s">
        <v>22</v>
      </c>
      <c r="T4" s="27" t="s">
        <v>24</v>
      </c>
      <c r="U4" s="11"/>
      <c r="V4" s="26" t="s">
        <v>22</v>
      </c>
      <c r="W4" s="27" t="s">
        <v>24</v>
      </c>
      <c r="X4" s="16"/>
      <c r="Y4" s="26" t="s">
        <v>22</v>
      </c>
      <c r="Z4" s="27" t="s">
        <v>24</v>
      </c>
      <c r="AA4" s="11"/>
      <c r="AB4" s="26" t="s">
        <v>22</v>
      </c>
      <c r="AC4" s="17" t="s">
        <v>24</v>
      </c>
      <c r="AE4" s="15" t="s">
        <v>22</v>
      </c>
      <c r="AF4" s="27" t="s">
        <v>41</v>
      </c>
      <c r="AG4" s="11"/>
      <c r="AH4" s="26" t="s">
        <v>22</v>
      </c>
      <c r="AI4" s="27" t="s">
        <v>41</v>
      </c>
      <c r="AJ4" s="11"/>
      <c r="AK4" s="26" t="s">
        <v>22</v>
      </c>
      <c r="AL4" s="27" t="s">
        <v>41</v>
      </c>
      <c r="AM4" s="16"/>
      <c r="AN4" s="26" t="s">
        <v>22</v>
      </c>
      <c r="AO4" s="27" t="s">
        <v>41</v>
      </c>
      <c r="AP4" s="11"/>
      <c r="AQ4" s="26" t="s">
        <v>22</v>
      </c>
      <c r="AR4" s="17" t="s">
        <v>41</v>
      </c>
      <c r="AU4" t="s">
        <v>51</v>
      </c>
      <c r="AX4" s="39" t="s">
        <v>50</v>
      </c>
      <c r="AZ4" t="s">
        <v>53</v>
      </c>
      <c r="BA4" s="39" t="s">
        <v>54</v>
      </c>
    </row>
    <row r="5" spans="1:53" x14ac:dyDescent="0.25">
      <c r="A5" s="28">
        <v>0</v>
      </c>
      <c r="B5" s="29">
        <f xml:space="preserve"> 0.01785775*A5^2 + 0.11877341*A5</f>
        <v>0</v>
      </c>
      <c r="C5" s="11"/>
      <c r="D5" s="28">
        <v>0</v>
      </c>
      <c r="E5" s="29">
        <f xml:space="preserve"> 0.01794021*D5^2 + 0.08917998*D5</f>
        <v>0</v>
      </c>
      <c r="F5" s="11"/>
      <c r="G5" s="28">
        <v>0</v>
      </c>
      <c r="H5" s="32">
        <f>0.02186929*G5^2 + 0.03415223*G5</f>
        <v>0</v>
      </c>
      <c r="I5" s="19"/>
      <c r="J5" s="28">
        <v>0</v>
      </c>
      <c r="K5" s="29">
        <f xml:space="preserve"> 0.02482235*J5^2 + 0.21753651*J5</f>
        <v>0</v>
      </c>
      <c r="L5" s="11"/>
      <c r="M5" s="28">
        <v>0</v>
      </c>
      <c r="N5" s="20">
        <f>0.02790669*M5^2 + 0.08233171*M5</f>
        <v>0</v>
      </c>
      <c r="P5" s="18">
        <v>0</v>
      </c>
      <c r="Q5" s="29">
        <f>0.00262651*P5^2 + 0.05646432*P5</f>
        <v>0</v>
      </c>
      <c r="R5" s="11"/>
      <c r="S5" s="28">
        <v>0</v>
      </c>
      <c r="T5" s="29">
        <f>0.00263029*S5^2 + 0.05609563*S5</f>
        <v>0</v>
      </c>
      <c r="U5" s="11"/>
      <c r="V5" s="28">
        <v>0</v>
      </c>
      <c r="W5" s="36">
        <f>0.00263738*V5^2 + 0.05551855*V5</f>
        <v>0</v>
      </c>
      <c r="X5" s="19"/>
      <c r="Y5" s="28">
        <v>0</v>
      </c>
      <c r="Z5" s="35">
        <f>0.00261842*Y5^2 + 0.05723342*Y5</f>
        <v>0</v>
      </c>
      <c r="AA5" s="11"/>
      <c r="AB5" s="28">
        <v>0</v>
      </c>
      <c r="AC5" s="20">
        <f xml:space="preserve"> 0.00262527*AB5^2 + 0.05664457*AB5</f>
        <v>0</v>
      </c>
      <c r="AE5" s="18">
        <v>0</v>
      </c>
      <c r="AF5" s="29">
        <f>B5-Q5</f>
        <v>0</v>
      </c>
      <c r="AG5" s="11"/>
      <c r="AH5" s="28">
        <v>0</v>
      </c>
      <c r="AI5" s="29">
        <f>E5-T5</f>
        <v>0</v>
      </c>
      <c r="AJ5" s="11"/>
      <c r="AK5" s="28">
        <v>0</v>
      </c>
      <c r="AL5" s="36">
        <f>H5-W5</f>
        <v>0</v>
      </c>
      <c r="AM5" s="19"/>
      <c r="AN5" s="28">
        <v>0</v>
      </c>
      <c r="AO5" s="35">
        <f>K5-Z5</f>
        <v>0</v>
      </c>
      <c r="AP5" s="11"/>
      <c r="AQ5" s="28">
        <v>0</v>
      </c>
      <c r="AR5" s="20">
        <f>N5-AC5</f>
        <v>0</v>
      </c>
      <c r="AU5" t="s">
        <v>44</v>
      </c>
      <c r="AX5" s="40">
        <v>0</v>
      </c>
      <c r="AZ5">
        <v>0</v>
      </c>
      <c r="BA5">
        <f>$AX$6*AF5+$AX$6*AI5+$AX$7*AL5+$AX$8*AO5+$AX$9*AR5+$AX$10*Q5</f>
        <v>0</v>
      </c>
    </row>
    <row r="6" spans="1:53" ht="15" customHeight="1" x14ac:dyDescent="0.25">
      <c r="A6" s="28">
        <v>10</v>
      </c>
      <c r="B6" s="29">
        <f xml:space="preserve"> 0.01785775*A6^2 + 0.11877341*A6</f>
        <v>2.9735090999999998</v>
      </c>
      <c r="C6" s="11"/>
      <c r="D6" s="28">
        <v>10</v>
      </c>
      <c r="E6" s="29">
        <f t="shared" ref="E6:E25" si="0" xml:space="preserve"> 0.01794021*D6^2 + 0.08917998*D6</f>
        <v>2.6858208000000001</v>
      </c>
      <c r="F6" s="11"/>
      <c r="G6" s="28">
        <v>10</v>
      </c>
      <c r="H6" s="32">
        <f t="shared" ref="H6:H25" si="1">0.02186929*G6^2 + 0.03415223*G6</f>
        <v>2.5284513</v>
      </c>
      <c r="I6" s="19"/>
      <c r="J6" s="28">
        <v>10</v>
      </c>
      <c r="K6" s="29">
        <f xml:space="preserve"> 0.02482235*J6^2 + 0.21753651*J6</f>
        <v>4.6576000999999998</v>
      </c>
      <c r="L6" s="11"/>
      <c r="M6" s="28">
        <v>10</v>
      </c>
      <c r="N6" s="20">
        <f>0.02790669*M6^2 + 0.08233171*M6</f>
        <v>3.6139861000000004</v>
      </c>
      <c r="P6" s="18">
        <v>10</v>
      </c>
      <c r="Q6" s="29">
        <f>0.00262651*P6^2 + 0.05646432*P6</f>
        <v>0.82729419999999998</v>
      </c>
      <c r="R6" s="11"/>
      <c r="S6" s="28">
        <v>10</v>
      </c>
      <c r="T6" s="29">
        <f>0.00263029*S6^2 + 0.05609563*S6</f>
        <v>0.82398529999999992</v>
      </c>
      <c r="U6" s="11"/>
      <c r="V6" s="28">
        <v>10</v>
      </c>
      <c r="W6" s="36">
        <f t="shared" ref="W6:W25" si="2">0.00263738*V6^2 + 0.05551855*V6</f>
        <v>0.81892349999999992</v>
      </c>
      <c r="X6" s="19"/>
      <c r="Y6" s="28">
        <v>10</v>
      </c>
      <c r="Z6" s="35">
        <f t="shared" ref="Z6:Z25" si="3">0.00261842*Y6^2 + 0.05723342*Y6</f>
        <v>0.83417620000000003</v>
      </c>
      <c r="AA6" s="34" t="s">
        <v>30</v>
      </c>
      <c r="AB6" s="28">
        <v>10</v>
      </c>
      <c r="AC6" s="20">
        <f t="shared" ref="AC6:AC25" si="4" xml:space="preserve"> 0.00262527*AB6^2 + 0.05664457*AB6</f>
        <v>0.82897270000000001</v>
      </c>
      <c r="AE6" s="18">
        <v>10</v>
      </c>
      <c r="AF6" s="29">
        <f t="shared" ref="AF6:AF25" si="5">B6-Q6</f>
        <v>2.1462148999999999</v>
      </c>
      <c r="AG6" s="11"/>
      <c r="AH6" s="28">
        <v>10</v>
      </c>
      <c r="AI6" s="29">
        <f t="shared" ref="AI6:AI25" si="6">E6-T6</f>
        <v>1.8618355000000002</v>
      </c>
      <c r="AJ6" s="11"/>
      <c r="AK6" s="28">
        <v>10</v>
      </c>
      <c r="AL6" s="36">
        <f t="shared" ref="AL6:AL25" si="7">H6-W6</f>
        <v>1.7095278</v>
      </c>
      <c r="AM6" s="19"/>
      <c r="AN6" s="28">
        <v>10</v>
      </c>
      <c r="AO6" s="35">
        <f t="shared" ref="AO6:AO25" si="8">K6-Z6</f>
        <v>3.8234238999999999</v>
      </c>
      <c r="AP6" s="34" t="s">
        <v>30</v>
      </c>
      <c r="AQ6" s="28">
        <v>10</v>
      </c>
      <c r="AR6" s="20">
        <f t="shared" ref="AR6:AR25" si="9">N6-AC6</f>
        <v>2.7850134000000004</v>
      </c>
      <c r="AU6" t="s">
        <v>45</v>
      </c>
      <c r="AX6" s="40">
        <v>2</v>
      </c>
      <c r="AZ6">
        <v>10</v>
      </c>
      <c r="BA6">
        <f t="shared" ref="BA6:BA25" si="10">$AX$6*AF6+$AX$6*AI6+$AX$7*AL6+$AX$8*AO6+$AX$9*AR6+$AX$10*Q6</f>
        <v>11.214758160000001</v>
      </c>
    </row>
    <row r="7" spans="1:53" x14ac:dyDescent="0.25">
      <c r="A7" s="28">
        <v>20</v>
      </c>
      <c r="B7" s="29">
        <f t="shared" ref="B7:B25" si="11" xml:space="preserve"> 0.01785775*A7^2 + 0.11877341*A7</f>
        <v>9.5185681999999989</v>
      </c>
      <c r="C7" s="11"/>
      <c r="D7" s="28">
        <v>20</v>
      </c>
      <c r="E7" s="29">
        <f t="shared" si="0"/>
        <v>8.9596836</v>
      </c>
      <c r="F7" s="11"/>
      <c r="G7" s="28">
        <v>20</v>
      </c>
      <c r="H7" s="32">
        <f t="shared" si="1"/>
        <v>9.430760600000001</v>
      </c>
      <c r="I7" s="19"/>
      <c r="J7" s="28">
        <v>20</v>
      </c>
      <c r="K7" s="29">
        <f t="shared" ref="K7:K25" si="12" xml:space="preserve"> 0.02482235*J7^2 + 0.21753651*J7</f>
        <v>14.279670200000002</v>
      </c>
      <c r="L7" s="11"/>
      <c r="M7" s="28">
        <v>20</v>
      </c>
      <c r="N7" s="20">
        <f t="shared" ref="N7:N25" si="13">0.02790669*M7^2 + 0.08233171*M7</f>
        <v>12.809310200000001</v>
      </c>
      <c r="P7" s="18">
        <v>20</v>
      </c>
      <c r="Q7" s="29">
        <f t="shared" ref="Q7:Q25" si="14">0.00262651*P7^2 + 0.05646432*P7</f>
        <v>2.1798903999999997</v>
      </c>
      <c r="R7" s="11"/>
      <c r="S7" s="28">
        <v>20</v>
      </c>
      <c r="T7" s="29">
        <f t="shared" ref="T7:T25" si="15">0.00263029*S7^2 + 0.05609563*S7</f>
        <v>2.1740285999999998</v>
      </c>
      <c r="U7" s="11"/>
      <c r="V7" s="28">
        <v>20</v>
      </c>
      <c r="W7" s="36">
        <f t="shared" si="2"/>
        <v>2.1653229999999999</v>
      </c>
      <c r="X7" s="19"/>
      <c r="Y7" s="28">
        <v>20</v>
      </c>
      <c r="Z7" s="35">
        <f t="shared" si="3"/>
        <v>2.1920364000000001</v>
      </c>
      <c r="AA7" s="11"/>
      <c r="AB7" s="28">
        <v>20</v>
      </c>
      <c r="AC7" s="20">
        <f t="shared" si="4"/>
        <v>2.1829993999999999</v>
      </c>
      <c r="AE7" s="18">
        <v>20</v>
      </c>
      <c r="AF7" s="29">
        <f t="shared" si="5"/>
        <v>7.3386777999999993</v>
      </c>
      <c r="AG7" s="11"/>
      <c r="AH7" s="28">
        <v>20</v>
      </c>
      <c r="AI7" s="29">
        <f t="shared" si="6"/>
        <v>6.7856550000000002</v>
      </c>
      <c r="AJ7" s="11"/>
      <c r="AK7" s="28">
        <v>20</v>
      </c>
      <c r="AL7" s="36">
        <f t="shared" si="7"/>
        <v>7.2654376000000012</v>
      </c>
      <c r="AM7" s="19"/>
      <c r="AN7" s="28">
        <v>20</v>
      </c>
      <c r="AO7" s="35">
        <f t="shared" si="8"/>
        <v>12.087633800000003</v>
      </c>
      <c r="AP7" s="11"/>
      <c r="AQ7" s="28">
        <v>20</v>
      </c>
      <c r="AR7" s="20">
        <f t="shared" si="9"/>
        <v>10.626310800000001</v>
      </c>
      <c r="AU7" t="s">
        <v>46</v>
      </c>
      <c r="AX7" s="40">
        <v>1</v>
      </c>
      <c r="AZ7">
        <v>20</v>
      </c>
      <c r="BA7">
        <f t="shared" si="10"/>
        <v>39.437905919999999</v>
      </c>
    </row>
    <row r="8" spans="1:53" x14ac:dyDescent="0.25">
      <c r="A8" s="28">
        <v>30</v>
      </c>
      <c r="B8" s="29">
        <f t="shared" si="11"/>
        <v>19.635177299999999</v>
      </c>
      <c r="C8" s="11"/>
      <c r="D8" s="28">
        <v>30</v>
      </c>
      <c r="E8" s="29">
        <f t="shared" si="0"/>
        <v>18.8215884</v>
      </c>
      <c r="F8" s="11"/>
      <c r="G8" s="28">
        <v>30</v>
      </c>
      <c r="H8" s="32">
        <f t="shared" si="1"/>
        <v>20.7069279</v>
      </c>
      <c r="I8" s="19"/>
      <c r="J8" s="28">
        <v>30</v>
      </c>
      <c r="K8" s="29">
        <f t="shared" si="12"/>
        <v>28.866210299999999</v>
      </c>
      <c r="L8" s="11"/>
      <c r="M8" s="28">
        <v>30</v>
      </c>
      <c r="N8" s="20">
        <f t="shared" si="13"/>
        <v>27.585972300000002</v>
      </c>
      <c r="P8" s="18">
        <v>30</v>
      </c>
      <c r="Q8" s="29">
        <f t="shared" si="14"/>
        <v>4.0577885999999994</v>
      </c>
      <c r="R8" s="11"/>
      <c r="S8" s="28">
        <v>30</v>
      </c>
      <c r="T8" s="29">
        <f t="shared" si="15"/>
        <v>4.0501298999999999</v>
      </c>
      <c r="U8" s="11"/>
      <c r="V8" s="28">
        <v>30</v>
      </c>
      <c r="W8" s="36">
        <f t="shared" si="2"/>
        <v>4.0391984999999995</v>
      </c>
      <c r="X8" s="19"/>
      <c r="Y8" s="28">
        <v>30</v>
      </c>
      <c r="Z8" s="35">
        <f t="shared" si="3"/>
        <v>4.0735806000000006</v>
      </c>
      <c r="AA8" s="11"/>
      <c r="AB8" s="28">
        <v>30</v>
      </c>
      <c r="AC8" s="20">
        <f t="shared" si="4"/>
        <v>4.0620801000000002</v>
      </c>
      <c r="AE8" s="18">
        <v>30</v>
      </c>
      <c r="AF8" s="29">
        <f t="shared" si="5"/>
        <v>15.5773887</v>
      </c>
      <c r="AG8" s="11"/>
      <c r="AH8" s="28">
        <v>30</v>
      </c>
      <c r="AI8" s="29">
        <f t="shared" si="6"/>
        <v>14.7714585</v>
      </c>
      <c r="AJ8" s="11"/>
      <c r="AK8" s="28">
        <v>30</v>
      </c>
      <c r="AL8" s="36">
        <f t="shared" si="7"/>
        <v>16.667729399999999</v>
      </c>
      <c r="AM8" s="19"/>
      <c r="AN8" s="28">
        <v>30</v>
      </c>
      <c r="AO8" s="35">
        <f t="shared" si="8"/>
        <v>24.792629699999999</v>
      </c>
      <c r="AP8" s="11"/>
      <c r="AQ8" s="28">
        <v>30</v>
      </c>
      <c r="AR8" s="20">
        <f t="shared" si="9"/>
        <v>23.523892200000002</v>
      </c>
      <c r="AU8" t="s">
        <v>47</v>
      </c>
      <c r="AX8" s="40">
        <v>0</v>
      </c>
      <c r="AZ8">
        <v>30</v>
      </c>
      <c r="BA8">
        <f t="shared" si="10"/>
        <v>84.669443279999996</v>
      </c>
    </row>
    <row r="9" spans="1:53" x14ac:dyDescent="0.25">
      <c r="A9" s="28">
        <v>40</v>
      </c>
      <c r="B9" s="29">
        <f t="shared" si="11"/>
        <v>33.323336399999995</v>
      </c>
      <c r="C9" s="11"/>
      <c r="D9" s="28">
        <v>40</v>
      </c>
      <c r="E9" s="29">
        <f t="shared" si="0"/>
        <v>32.271535200000002</v>
      </c>
      <c r="F9" s="11"/>
      <c r="G9" s="28">
        <v>40</v>
      </c>
      <c r="H9" s="32">
        <f t="shared" si="1"/>
        <v>36.3569532</v>
      </c>
      <c r="I9" s="19"/>
      <c r="J9" s="28">
        <v>40</v>
      </c>
      <c r="K9" s="29">
        <f t="shared" si="12"/>
        <v>48.417220400000005</v>
      </c>
      <c r="L9" s="11"/>
      <c r="M9" s="28">
        <v>40</v>
      </c>
      <c r="N9" s="20">
        <f t="shared" si="13"/>
        <v>47.943972400000007</v>
      </c>
      <c r="P9" s="18">
        <v>40</v>
      </c>
      <c r="Q9" s="29">
        <f t="shared" si="14"/>
        <v>6.4609887999999991</v>
      </c>
      <c r="R9" s="11"/>
      <c r="S9" s="28">
        <v>40</v>
      </c>
      <c r="T9" s="29">
        <f t="shared" si="15"/>
        <v>6.4522892000000001</v>
      </c>
      <c r="U9" s="11"/>
      <c r="V9" s="28">
        <v>40</v>
      </c>
      <c r="W9" s="36">
        <f t="shared" si="2"/>
        <v>6.44055</v>
      </c>
      <c r="X9" s="19"/>
      <c r="Y9" s="28">
        <v>40</v>
      </c>
      <c r="Z9" s="35">
        <f t="shared" si="3"/>
        <v>6.4788088000000004</v>
      </c>
      <c r="AA9" s="11"/>
      <c r="AB9" s="28">
        <v>40</v>
      </c>
      <c r="AC9" s="20">
        <f t="shared" si="4"/>
        <v>6.4662147999999995</v>
      </c>
      <c r="AE9" s="18">
        <v>40</v>
      </c>
      <c r="AF9" s="29">
        <f t="shared" si="5"/>
        <v>26.862347599999996</v>
      </c>
      <c r="AG9" s="11"/>
      <c r="AH9" s="28">
        <v>40</v>
      </c>
      <c r="AI9" s="29">
        <f t="shared" si="6"/>
        <v>25.819246000000003</v>
      </c>
      <c r="AJ9" s="11"/>
      <c r="AK9" s="28">
        <v>40</v>
      </c>
      <c r="AL9" s="36">
        <f t="shared" si="7"/>
        <v>29.916403199999998</v>
      </c>
      <c r="AM9" s="19"/>
      <c r="AN9" s="28">
        <v>40</v>
      </c>
      <c r="AO9" s="35">
        <f t="shared" si="8"/>
        <v>41.938411600000002</v>
      </c>
      <c r="AP9" s="11"/>
      <c r="AQ9" s="28">
        <v>40</v>
      </c>
      <c r="AR9" s="20">
        <f t="shared" si="9"/>
        <v>41.477757600000004</v>
      </c>
      <c r="AU9" t="s">
        <v>48</v>
      </c>
      <c r="AX9" s="40">
        <v>0</v>
      </c>
      <c r="AZ9">
        <v>40</v>
      </c>
      <c r="BA9">
        <f t="shared" si="10"/>
        <v>146.90937023999999</v>
      </c>
    </row>
    <row r="10" spans="1:53" x14ac:dyDescent="0.25">
      <c r="A10" s="28">
        <v>50</v>
      </c>
      <c r="B10" s="29">
        <f t="shared" si="11"/>
        <v>50.583045499999997</v>
      </c>
      <c r="C10" s="11"/>
      <c r="D10" s="28">
        <v>50</v>
      </c>
      <c r="E10" s="29">
        <f t="shared" si="0"/>
        <v>49.309524000000003</v>
      </c>
      <c r="F10" s="11"/>
      <c r="G10" s="28">
        <v>50</v>
      </c>
      <c r="H10" s="32">
        <f t="shared" si="1"/>
        <v>56.380836500000001</v>
      </c>
      <c r="I10" s="19"/>
      <c r="J10" s="28">
        <v>50</v>
      </c>
      <c r="K10" s="29">
        <f t="shared" si="12"/>
        <v>72.932700499999996</v>
      </c>
      <c r="L10" s="11"/>
      <c r="M10" s="28">
        <v>50</v>
      </c>
      <c r="N10" s="20">
        <f t="shared" si="13"/>
        <v>73.883310500000007</v>
      </c>
      <c r="P10" s="18">
        <v>50</v>
      </c>
      <c r="Q10" s="29">
        <f t="shared" si="14"/>
        <v>9.3894909999999996</v>
      </c>
      <c r="R10" s="11"/>
      <c r="S10" s="28">
        <v>50</v>
      </c>
      <c r="T10" s="29">
        <f t="shared" si="15"/>
        <v>9.3805064999999992</v>
      </c>
      <c r="U10" s="11"/>
      <c r="V10" s="28">
        <v>50</v>
      </c>
      <c r="W10" s="36">
        <f t="shared" si="2"/>
        <v>9.3693774999999988</v>
      </c>
      <c r="X10" s="19"/>
      <c r="Y10" s="28">
        <v>50</v>
      </c>
      <c r="Z10" s="35">
        <f t="shared" si="3"/>
        <v>9.4077210000000004</v>
      </c>
      <c r="AA10" s="11"/>
      <c r="AB10" s="28">
        <v>50</v>
      </c>
      <c r="AC10" s="20">
        <f t="shared" si="4"/>
        <v>9.3954034999999987</v>
      </c>
      <c r="AE10" s="18">
        <v>50</v>
      </c>
      <c r="AF10" s="29">
        <f t="shared" si="5"/>
        <v>41.193554499999998</v>
      </c>
      <c r="AG10" s="11"/>
      <c r="AH10" s="28">
        <v>50</v>
      </c>
      <c r="AI10" s="29">
        <f t="shared" si="6"/>
        <v>39.9290175</v>
      </c>
      <c r="AJ10" s="11"/>
      <c r="AK10" s="28">
        <v>50</v>
      </c>
      <c r="AL10" s="36">
        <f t="shared" si="7"/>
        <v>47.011459000000002</v>
      </c>
      <c r="AM10" s="19"/>
      <c r="AN10" s="28">
        <v>50</v>
      </c>
      <c r="AO10" s="35">
        <f t="shared" si="8"/>
        <v>63.524979499999993</v>
      </c>
      <c r="AP10" s="11"/>
      <c r="AQ10" s="28">
        <v>50</v>
      </c>
      <c r="AR10" s="20">
        <f t="shared" si="9"/>
        <v>64.487907000000007</v>
      </c>
      <c r="AU10" t="s">
        <v>49</v>
      </c>
      <c r="AX10" s="40">
        <v>1.8</v>
      </c>
      <c r="AZ10">
        <v>50</v>
      </c>
      <c r="BA10">
        <f t="shared" si="10"/>
        <v>226.15768679999999</v>
      </c>
    </row>
    <row r="11" spans="1:53" x14ac:dyDescent="0.25">
      <c r="A11" s="28">
        <v>60</v>
      </c>
      <c r="B11" s="29">
        <f t="shared" si="11"/>
        <v>71.414304599999994</v>
      </c>
      <c r="C11" s="11"/>
      <c r="D11" s="28">
        <v>60</v>
      </c>
      <c r="E11" s="29">
        <f t="shared" si="0"/>
        <v>69.935554800000006</v>
      </c>
      <c r="F11" s="11"/>
      <c r="G11" s="28">
        <v>60</v>
      </c>
      <c r="H11" s="32">
        <f t="shared" si="1"/>
        <v>80.778577799999994</v>
      </c>
      <c r="I11" s="19"/>
      <c r="J11" s="28">
        <v>60</v>
      </c>
      <c r="K11" s="29">
        <f t="shared" si="12"/>
        <v>102.41265060000001</v>
      </c>
      <c r="L11" s="11"/>
      <c r="M11" s="28">
        <v>60</v>
      </c>
      <c r="N11" s="20">
        <f t="shared" si="13"/>
        <v>105.4039866</v>
      </c>
      <c r="P11" s="18">
        <v>60</v>
      </c>
      <c r="Q11" s="29">
        <f t="shared" si="14"/>
        <v>12.843295199999998</v>
      </c>
      <c r="R11" s="11"/>
      <c r="S11" s="28">
        <v>60</v>
      </c>
      <c r="T11" s="29">
        <f t="shared" si="15"/>
        <v>12.8347818</v>
      </c>
      <c r="U11" s="11"/>
      <c r="V11" s="28">
        <v>60</v>
      </c>
      <c r="W11" s="36">
        <f t="shared" si="2"/>
        <v>12.825680999999999</v>
      </c>
      <c r="X11" s="19"/>
      <c r="Y11" s="28">
        <v>60</v>
      </c>
      <c r="Z11" s="35">
        <f t="shared" si="3"/>
        <v>12.860317200000001</v>
      </c>
      <c r="AA11" s="11"/>
      <c r="AB11" s="28">
        <v>60</v>
      </c>
      <c r="AC11" s="20">
        <f t="shared" si="4"/>
        <v>12.8496462</v>
      </c>
      <c r="AE11" s="18">
        <v>60</v>
      </c>
      <c r="AF11" s="29">
        <f t="shared" si="5"/>
        <v>58.571009399999994</v>
      </c>
      <c r="AG11" s="11"/>
      <c r="AH11" s="28">
        <v>60</v>
      </c>
      <c r="AI11" s="29">
        <f t="shared" si="6"/>
        <v>57.100773000000004</v>
      </c>
      <c r="AJ11" s="11"/>
      <c r="AK11" s="28">
        <v>60</v>
      </c>
      <c r="AL11" s="36">
        <f t="shared" si="7"/>
        <v>67.952896799999991</v>
      </c>
      <c r="AM11" s="19"/>
      <c r="AN11" s="28">
        <v>60</v>
      </c>
      <c r="AO11" s="35">
        <f t="shared" si="8"/>
        <v>89.552333400000009</v>
      </c>
      <c r="AP11" s="11"/>
      <c r="AQ11" s="28">
        <v>60</v>
      </c>
      <c r="AR11" s="20">
        <f t="shared" si="9"/>
        <v>92.554340400000001</v>
      </c>
      <c r="AZ11">
        <v>60</v>
      </c>
      <c r="BA11">
        <f t="shared" si="10"/>
        <v>322.41439295999999</v>
      </c>
    </row>
    <row r="12" spans="1:53" x14ac:dyDescent="0.25">
      <c r="A12" s="28">
        <v>70</v>
      </c>
      <c r="B12" s="29">
        <f t="shared" si="11"/>
        <v>95.817113699999993</v>
      </c>
      <c r="C12" s="11"/>
      <c r="D12" s="28">
        <v>70</v>
      </c>
      <c r="E12" s="29">
        <f t="shared" si="0"/>
        <v>94.149627600000002</v>
      </c>
      <c r="F12" s="11"/>
      <c r="G12" s="28">
        <v>70</v>
      </c>
      <c r="H12" s="32">
        <f t="shared" si="1"/>
        <v>109.5501771</v>
      </c>
      <c r="I12" s="19"/>
      <c r="J12" s="28">
        <v>70</v>
      </c>
      <c r="K12" s="29">
        <f t="shared" si="12"/>
        <v>136.85707070000001</v>
      </c>
      <c r="L12" s="11"/>
      <c r="M12" s="28">
        <v>70</v>
      </c>
      <c r="N12" s="20">
        <f t="shared" si="13"/>
        <v>142.50600070000002</v>
      </c>
      <c r="P12" s="18">
        <v>70</v>
      </c>
      <c r="Q12" s="29">
        <f t="shared" si="14"/>
        <v>16.8224014</v>
      </c>
      <c r="R12" s="11"/>
      <c r="S12" s="28">
        <v>70</v>
      </c>
      <c r="T12" s="29">
        <f t="shared" si="15"/>
        <v>16.8151151</v>
      </c>
      <c r="U12" s="11"/>
      <c r="V12" s="28">
        <v>70</v>
      </c>
      <c r="W12" s="36">
        <f t="shared" si="2"/>
        <v>16.8094605</v>
      </c>
      <c r="X12" s="19"/>
      <c r="Y12" s="28">
        <v>70</v>
      </c>
      <c r="Z12" s="35">
        <f t="shared" si="3"/>
        <v>16.836597400000002</v>
      </c>
      <c r="AA12" s="11"/>
      <c r="AB12" s="28">
        <v>70</v>
      </c>
      <c r="AC12" s="20">
        <f t="shared" si="4"/>
        <v>16.828942900000001</v>
      </c>
      <c r="AE12" s="18">
        <v>70</v>
      </c>
      <c r="AF12" s="29">
        <f t="shared" si="5"/>
        <v>78.994712299999989</v>
      </c>
      <c r="AG12" s="11"/>
      <c r="AH12" s="28">
        <v>70</v>
      </c>
      <c r="AI12" s="29">
        <f t="shared" si="6"/>
        <v>77.334512500000002</v>
      </c>
      <c r="AJ12" s="11"/>
      <c r="AK12" s="28">
        <v>70</v>
      </c>
      <c r="AL12" s="36">
        <f t="shared" si="7"/>
        <v>92.740716599999999</v>
      </c>
      <c r="AM12" s="19"/>
      <c r="AN12" s="28">
        <v>70</v>
      </c>
      <c r="AO12" s="35">
        <f t="shared" si="8"/>
        <v>120.02047330000001</v>
      </c>
      <c r="AP12" s="11"/>
      <c r="AQ12" s="28">
        <v>70</v>
      </c>
      <c r="AR12" s="20">
        <f t="shared" si="9"/>
        <v>125.67705780000001</v>
      </c>
      <c r="AZ12">
        <v>70</v>
      </c>
      <c r="BA12">
        <f t="shared" si="10"/>
        <v>435.67948871999999</v>
      </c>
    </row>
    <row r="13" spans="1:53" x14ac:dyDescent="0.25">
      <c r="A13" s="28">
        <v>80</v>
      </c>
      <c r="B13" s="29">
        <f t="shared" si="11"/>
        <v>123.79147279999999</v>
      </c>
      <c r="C13" s="11"/>
      <c r="D13" s="28">
        <v>80</v>
      </c>
      <c r="E13" s="29">
        <f t="shared" si="0"/>
        <v>121.9517424</v>
      </c>
      <c r="F13" s="11"/>
      <c r="G13" s="28">
        <v>80</v>
      </c>
      <c r="H13" s="32">
        <f t="shared" si="1"/>
        <v>142.69563440000002</v>
      </c>
      <c r="I13" s="19"/>
      <c r="J13" s="28">
        <v>80</v>
      </c>
      <c r="K13" s="29">
        <f t="shared" si="12"/>
        <v>176.26596080000002</v>
      </c>
      <c r="L13" s="11"/>
      <c r="M13" s="28">
        <v>80</v>
      </c>
      <c r="N13" s="20">
        <f t="shared" si="13"/>
        <v>185.18935280000002</v>
      </c>
      <c r="P13" s="18">
        <v>80</v>
      </c>
      <c r="Q13" s="29">
        <f t="shared" si="14"/>
        <v>21.326809599999997</v>
      </c>
      <c r="R13" s="11"/>
      <c r="S13" s="28">
        <v>80</v>
      </c>
      <c r="T13" s="29">
        <f t="shared" si="15"/>
        <v>21.321506400000001</v>
      </c>
      <c r="U13" s="11"/>
      <c r="V13" s="28">
        <v>80</v>
      </c>
      <c r="W13" s="36">
        <f t="shared" si="2"/>
        <v>21.320715999999997</v>
      </c>
      <c r="X13" s="19"/>
      <c r="Y13" s="28">
        <v>80</v>
      </c>
      <c r="Z13" s="35">
        <f t="shared" si="3"/>
        <v>21.336561600000003</v>
      </c>
      <c r="AA13" s="11"/>
      <c r="AB13" s="28">
        <v>80</v>
      </c>
      <c r="AC13" s="20">
        <f t="shared" si="4"/>
        <v>21.333293600000001</v>
      </c>
      <c r="AE13" s="18">
        <v>80</v>
      </c>
      <c r="AF13" s="29">
        <f t="shared" si="5"/>
        <v>102.46466319999999</v>
      </c>
      <c r="AG13" s="11"/>
      <c r="AH13" s="28">
        <v>80</v>
      </c>
      <c r="AI13" s="29">
        <f t="shared" si="6"/>
        <v>100.630236</v>
      </c>
      <c r="AJ13" s="11"/>
      <c r="AK13" s="28">
        <v>80</v>
      </c>
      <c r="AL13" s="36">
        <f t="shared" si="7"/>
        <v>121.37491840000001</v>
      </c>
      <c r="AM13" s="19"/>
      <c r="AN13" s="28">
        <v>80</v>
      </c>
      <c r="AO13" s="35">
        <f t="shared" si="8"/>
        <v>154.92939920000001</v>
      </c>
      <c r="AP13" s="11"/>
      <c r="AQ13" s="28">
        <v>80</v>
      </c>
      <c r="AR13" s="20">
        <f t="shared" si="9"/>
        <v>163.85605920000003</v>
      </c>
      <c r="AZ13">
        <v>80</v>
      </c>
      <c r="BA13">
        <f t="shared" si="10"/>
        <v>565.95297407999999</v>
      </c>
    </row>
    <row r="14" spans="1:53" x14ac:dyDescent="0.25">
      <c r="A14" s="28">
        <v>90</v>
      </c>
      <c r="B14" s="29">
        <f t="shared" si="11"/>
        <v>155.3373819</v>
      </c>
      <c r="C14" s="11"/>
      <c r="D14" s="28">
        <v>90</v>
      </c>
      <c r="E14" s="29">
        <f t="shared" si="0"/>
        <v>153.34189920000003</v>
      </c>
      <c r="F14" s="11"/>
      <c r="G14" s="28">
        <v>90</v>
      </c>
      <c r="H14" s="32">
        <f t="shared" si="1"/>
        <v>180.21494969999998</v>
      </c>
      <c r="I14" s="19"/>
      <c r="J14" s="28">
        <v>90</v>
      </c>
      <c r="K14" s="29">
        <f t="shared" si="12"/>
        <v>220.6393209</v>
      </c>
      <c r="L14" s="11"/>
      <c r="M14" s="28">
        <v>90</v>
      </c>
      <c r="N14" s="20">
        <f t="shared" si="13"/>
        <v>233.45404290000002</v>
      </c>
      <c r="P14" s="18">
        <v>90</v>
      </c>
      <c r="Q14" s="29">
        <f t="shared" si="14"/>
        <v>26.356519800000001</v>
      </c>
      <c r="R14" s="11"/>
      <c r="S14" s="28">
        <v>90</v>
      </c>
      <c r="T14" s="29">
        <f t="shared" si="15"/>
        <v>26.3539557</v>
      </c>
      <c r="U14" s="11"/>
      <c r="V14" s="28">
        <v>90</v>
      </c>
      <c r="W14" s="36">
        <f t="shared" si="2"/>
        <v>26.359447499999998</v>
      </c>
      <c r="X14" s="19"/>
      <c r="Y14" s="28">
        <v>90</v>
      </c>
      <c r="Z14" s="35">
        <f t="shared" si="3"/>
        <v>26.3602098</v>
      </c>
      <c r="AA14" s="11"/>
      <c r="AB14" s="28">
        <v>90</v>
      </c>
      <c r="AC14" s="20">
        <f t="shared" si="4"/>
        <v>26.362698299999998</v>
      </c>
      <c r="AE14" s="18">
        <v>90</v>
      </c>
      <c r="AF14" s="29">
        <f t="shared" si="5"/>
        <v>128.9808621</v>
      </c>
      <c r="AG14" s="11"/>
      <c r="AH14" s="28">
        <v>90</v>
      </c>
      <c r="AI14" s="29">
        <f t="shared" si="6"/>
        <v>126.98794350000003</v>
      </c>
      <c r="AJ14" s="11"/>
      <c r="AK14" s="28">
        <v>90</v>
      </c>
      <c r="AL14" s="36">
        <f t="shared" si="7"/>
        <v>153.85550219999999</v>
      </c>
      <c r="AM14" s="19"/>
      <c r="AN14" s="28">
        <v>90</v>
      </c>
      <c r="AO14" s="35">
        <f t="shared" si="8"/>
        <v>194.27911109999999</v>
      </c>
      <c r="AP14" s="11"/>
      <c r="AQ14" s="28">
        <v>90</v>
      </c>
      <c r="AR14" s="20">
        <f t="shared" si="9"/>
        <v>207.09134460000001</v>
      </c>
      <c r="AZ14">
        <v>90</v>
      </c>
      <c r="BA14">
        <f t="shared" si="10"/>
        <v>713.23484904000009</v>
      </c>
    </row>
    <row r="15" spans="1:53" x14ac:dyDescent="0.25">
      <c r="A15" s="28">
        <v>100</v>
      </c>
      <c r="B15" s="29">
        <f t="shared" si="11"/>
        <v>190.45484099999999</v>
      </c>
      <c r="C15" s="11"/>
      <c r="D15" s="28">
        <v>100</v>
      </c>
      <c r="E15" s="29">
        <f t="shared" si="0"/>
        <v>188.32009800000003</v>
      </c>
      <c r="F15" s="11"/>
      <c r="G15" s="28">
        <v>100</v>
      </c>
      <c r="H15" s="32">
        <f t="shared" si="1"/>
        <v>222.10812300000001</v>
      </c>
      <c r="I15" s="19"/>
      <c r="J15" s="28">
        <v>100</v>
      </c>
      <c r="K15" s="29">
        <f t="shared" si="12"/>
        <v>269.97715099999999</v>
      </c>
      <c r="L15" s="11"/>
      <c r="M15" s="28">
        <v>100</v>
      </c>
      <c r="N15" s="20">
        <f t="shared" si="13"/>
        <v>287.30007100000006</v>
      </c>
      <c r="P15" s="18">
        <v>100</v>
      </c>
      <c r="Q15" s="29">
        <f t="shared" si="14"/>
        <v>31.911532000000001</v>
      </c>
      <c r="R15" s="11"/>
      <c r="S15" s="28">
        <v>100</v>
      </c>
      <c r="T15" s="29">
        <f t="shared" si="15"/>
        <v>31.912463000000002</v>
      </c>
      <c r="U15" s="11"/>
      <c r="V15" s="28">
        <v>100</v>
      </c>
      <c r="W15" s="36">
        <f t="shared" si="2"/>
        <v>31.925654999999999</v>
      </c>
      <c r="X15" s="19"/>
      <c r="Y15" s="28">
        <v>100</v>
      </c>
      <c r="Z15" s="35">
        <f t="shared" si="3"/>
        <v>31.907541999999999</v>
      </c>
      <c r="AA15" s="11"/>
      <c r="AB15" s="28">
        <v>100</v>
      </c>
      <c r="AC15" s="20">
        <f t="shared" si="4"/>
        <v>31.917156999999996</v>
      </c>
      <c r="AE15" s="18">
        <v>100</v>
      </c>
      <c r="AF15" s="29">
        <f t="shared" si="5"/>
        <v>158.54330899999999</v>
      </c>
      <c r="AG15" s="11"/>
      <c r="AH15" s="28">
        <v>100</v>
      </c>
      <c r="AI15" s="29">
        <f t="shared" si="6"/>
        <v>156.40763500000003</v>
      </c>
      <c r="AJ15" s="11"/>
      <c r="AK15" s="28">
        <v>100</v>
      </c>
      <c r="AL15" s="36">
        <f t="shared" si="7"/>
        <v>190.182468</v>
      </c>
      <c r="AM15" s="19"/>
      <c r="AN15" s="28">
        <v>100</v>
      </c>
      <c r="AO15" s="35">
        <f t="shared" si="8"/>
        <v>238.06960899999999</v>
      </c>
      <c r="AP15" s="11"/>
      <c r="AQ15" s="28">
        <v>100</v>
      </c>
      <c r="AR15" s="20">
        <f t="shared" si="9"/>
        <v>255.38291400000006</v>
      </c>
      <c r="AZ15">
        <v>100</v>
      </c>
      <c r="BA15">
        <f t="shared" si="10"/>
        <v>877.52511360000005</v>
      </c>
    </row>
    <row r="16" spans="1:53" x14ac:dyDescent="0.25">
      <c r="A16" s="28">
        <v>110</v>
      </c>
      <c r="B16" s="29">
        <f t="shared" si="11"/>
        <v>229.14385009999998</v>
      </c>
      <c r="C16" s="11"/>
      <c r="D16" s="28">
        <v>110</v>
      </c>
      <c r="E16" s="29">
        <f t="shared" si="0"/>
        <v>226.88633880000003</v>
      </c>
      <c r="F16" s="11"/>
      <c r="G16" s="28">
        <v>110</v>
      </c>
      <c r="H16" s="32">
        <f t="shared" si="1"/>
        <v>268.37515429999996</v>
      </c>
      <c r="I16" s="19"/>
      <c r="J16" s="28">
        <v>110</v>
      </c>
      <c r="K16" s="29">
        <f t="shared" si="12"/>
        <v>324.27945110000002</v>
      </c>
      <c r="L16" s="11"/>
      <c r="M16" s="28">
        <v>110</v>
      </c>
      <c r="N16" s="20">
        <f t="shared" si="13"/>
        <v>346.72743710000003</v>
      </c>
      <c r="P16" s="18">
        <v>110</v>
      </c>
      <c r="Q16" s="29">
        <f t="shared" si="14"/>
        <v>37.991846199999998</v>
      </c>
      <c r="R16" s="11"/>
      <c r="S16" s="28">
        <v>110</v>
      </c>
      <c r="T16" s="29">
        <f t="shared" si="15"/>
        <v>37.997028299999997</v>
      </c>
      <c r="U16" s="11"/>
      <c r="V16" s="28">
        <v>110</v>
      </c>
      <c r="W16" s="36">
        <f t="shared" si="2"/>
        <v>38.019338500000003</v>
      </c>
      <c r="X16" s="19"/>
      <c r="Y16" s="28">
        <v>110</v>
      </c>
      <c r="Z16" s="35">
        <f t="shared" si="3"/>
        <v>37.978558200000002</v>
      </c>
      <c r="AA16" s="11"/>
      <c r="AB16" s="28">
        <v>110</v>
      </c>
      <c r="AC16" s="20">
        <f t="shared" si="4"/>
        <v>37.996669699999998</v>
      </c>
      <c r="AE16" s="18">
        <v>110</v>
      </c>
      <c r="AF16" s="29">
        <f t="shared" si="5"/>
        <v>191.15200389999998</v>
      </c>
      <c r="AG16" s="11"/>
      <c r="AH16" s="28">
        <v>110</v>
      </c>
      <c r="AI16" s="29">
        <f t="shared" si="6"/>
        <v>188.88931050000002</v>
      </c>
      <c r="AJ16" s="11"/>
      <c r="AK16" s="28">
        <v>110</v>
      </c>
      <c r="AL16" s="36">
        <f t="shared" si="7"/>
        <v>230.35581579999996</v>
      </c>
      <c r="AM16" s="19"/>
      <c r="AN16" s="28">
        <v>110</v>
      </c>
      <c r="AO16" s="35">
        <f t="shared" si="8"/>
        <v>286.30089290000001</v>
      </c>
      <c r="AP16" s="11"/>
      <c r="AQ16" s="28">
        <v>110</v>
      </c>
      <c r="AR16" s="20">
        <f t="shared" si="9"/>
        <v>308.73076740000005</v>
      </c>
      <c r="AZ16">
        <v>110</v>
      </c>
      <c r="BA16">
        <f t="shared" si="10"/>
        <v>1058.82376776</v>
      </c>
    </row>
    <row r="17" spans="1:53" x14ac:dyDescent="0.25">
      <c r="A17" s="28">
        <v>120</v>
      </c>
      <c r="B17" s="29">
        <f t="shared" si="11"/>
        <v>271.40440919999998</v>
      </c>
      <c r="C17" s="11"/>
      <c r="D17" s="28">
        <v>120</v>
      </c>
      <c r="E17" s="29">
        <f xml:space="preserve"> 0.01794021*D17^2 + 0.08917998*D17</f>
        <v>269.04062160000001</v>
      </c>
      <c r="F17" s="11"/>
      <c r="G17" s="28">
        <v>120</v>
      </c>
      <c r="H17" s="32">
        <f t="shared" si="1"/>
        <v>319.01604359999999</v>
      </c>
      <c r="I17" s="19"/>
      <c r="J17" s="28">
        <v>120</v>
      </c>
      <c r="K17" s="29">
        <f t="shared" si="12"/>
        <v>383.54622119999999</v>
      </c>
      <c r="L17" s="11"/>
      <c r="M17" s="28">
        <v>120</v>
      </c>
      <c r="N17" s="20">
        <f t="shared" si="13"/>
        <v>411.73614120000002</v>
      </c>
      <c r="P17" s="18">
        <v>120</v>
      </c>
      <c r="Q17" s="29">
        <f t="shared" si="14"/>
        <v>44.597462399999998</v>
      </c>
      <c r="R17" s="11"/>
      <c r="S17" s="28">
        <v>120</v>
      </c>
      <c r="T17" s="29">
        <f t="shared" si="15"/>
        <v>44.607651600000004</v>
      </c>
      <c r="U17" s="11"/>
      <c r="V17" s="28">
        <v>120</v>
      </c>
      <c r="W17" s="36">
        <f t="shared" si="2"/>
        <v>44.640497999999994</v>
      </c>
      <c r="X17" s="19"/>
      <c r="Y17" s="28">
        <v>120</v>
      </c>
      <c r="Z17" s="35">
        <f t="shared" si="3"/>
        <v>44.573258400000007</v>
      </c>
      <c r="AA17" s="11"/>
      <c r="AB17" s="28">
        <v>120</v>
      </c>
      <c r="AC17" s="20">
        <f t="shared" si="4"/>
        <v>44.601236399999998</v>
      </c>
      <c r="AE17" s="18">
        <v>120</v>
      </c>
      <c r="AF17" s="29">
        <f t="shared" si="5"/>
        <v>226.80694679999999</v>
      </c>
      <c r="AG17" s="11"/>
      <c r="AH17" s="28">
        <v>120</v>
      </c>
      <c r="AI17" s="29">
        <f t="shared" si="6"/>
        <v>224.43297000000001</v>
      </c>
      <c r="AJ17" s="11"/>
      <c r="AK17" s="28">
        <v>120</v>
      </c>
      <c r="AL17" s="36">
        <f t="shared" si="7"/>
        <v>274.37554560000001</v>
      </c>
      <c r="AM17" s="19"/>
      <c r="AN17" s="28">
        <v>120</v>
      </c>
      <c r="AO17" s="35">
        <f t="shared" si="8"/>
        <v>338.9729628</v>
      </c>
      <c r="AP17" s="11"/>
      <c r="AQ17" s="28">
        <v>120</v>
      </c>
      <c r="AR17" s="20">
        <f t="shared" si="9"/>
        <v>367.13490480000002</v>
      </c>
      <c r="AZ17">
        <v>120</v>
      </c>
      <c r="BA17">
        <f t="shared" si="10"/>
        <v>1257.13081152</v>
      </c>
    </row>
    <row r="18" spans="1:53" x14ac:dyDescent="0.25">
      <c r="A18" s="28">
        <v>130</v>
      </c>
      <c r="B18" s="29">
        <f t="shared" si="11"/>
        <v>317.2365183</v>
      </c>
      <c r="C18" s="11"/>
      <c r="D18" s="28">
        <v>130</v>
      </c>
      <c r="E18" s="29">
        <f t="shared" si="0"/>
        <v>314.78294640000001</v>
      </c>
      <c r="F18" s="11"/>
      <c r="G18" s="28">
        <v>130</v>
      </c>
      <c r="H18" s="32">
        <f t="shared" si="1"/>
        <v>374.0307909</v>
      </c>
      <c r="I18" s="19"/>
      <c r="J18" s="28">
        <v>130</v>
      </c>
      <c r="K18" s="29">
        <f t="shared" si="12"/>
        <v>447.77746130000003</v>
      </c>
      <c r="L18" s="11"/>
      <c r="M18" s="28">
        <v>130</v>
      </c>
      <c r="N18" s="20">
        <f t="shared" si="13"/>
        <v>482.32618330000003</v>
      </c>
      <c r="P18" s="18">
        <v>130</v>
      </c>
      <c r="Q18" s="29">
        <f t="shared" si="14"/>
        <v>51.728380600000001</v>
      </c>
      <c r="R18" s="11"/>
      <c r="S18" s="28">
        <v>130</v>
      </c>
      <c r="T18" s="29">
        <f t="shared" si="15"/>
        <v>51.744332900000003</v>
      </c>
      <c r="U18" s="11"/>
      <c r="V18" s="28">
        <v>130</v>
      </c>
      <c r="W18" s="36">
        <f t="shared" si="2"/>
        <v>51.789133499999998</v>
      </c>
      <c r="X18" s="19"/>
      <c r="Y18" s="28">
        <v>130</v>
      </c>
      <c r="Z18" s="35">
        <f t="shared" si="3"/>
        <v>51.691642600000009</v>
      </c>
      <c r="AA18" s="11"/>
      <c r="AB18" s="28">
        <v>130</v>
      </c>
      <c r="AC18" s="20">
        <f t="shared" si="4"/>
        <v>51.730857099999994</v>
      </c>
      <c r="AE18" s="18">
        <v>130</v>
      </c>
      <c r="AF18" s="29">
        <f t="shared" si="5"/>
        <v>265.50813770000002</v>
      </c>
      <c r="AG18" s="11"/>
      <c r="AH18" s="28">
        <v>130</v>
      </c>
      <c r="AI18" s="29">
        <f t="shared" si="6"/>
        <v>263.0386135</v>
      </c>
      <c r="AJ18" s="11"/>
      <c r="AK18" s="28">
        <v>130</v>
      </c>
      <c r="AL18" s="36">
        <f t="shared" si="7"/>
        <v>322.24165740000001</v>
      </c>
      <c r="AM18" s="19"/>
      <c r="AN18" s="28">
        <v>130</v>
      </c>
      <c r="AO18" s="35">
        <f t="shared" si="8"/>
        <v>396.0858187</v>
      </c>
      <c r="AP18" s="11"/>
      <c r="AQ18" s="28">
        <v>130</v>
      </c>
      <c r="AR18" s="20">
        <f t="shared" si="9"/>
        <v>430.59532620000004</v>
      </c>
      <c r="AZ18">
        <v>130</v>
      </c>
      <c r="BA18">
        <f t="shared" si="10"/>
        <v>1472.44624488</v>
      </c>
    </row>
    <row r="19" spans="1:53" x14ac:dyDescent="0.25">
      <c r="A19" s="28">
        <v>140</v>
      </c>
      <c r="B19" s="29">
        <f t="shared" si="11"/>
        <v>366.64017739999997</v>
      </c>
      <c r="C19" s="11"/>
      <c r="D19" s="28">
        <v>140</v>
      </c>
      <c r="E19" s="29">
        <f t="shared" si="0"/>
        <v>364.11331320000005</v>
      </c>
      <c r="F19" s="11"/>
      <c r="G19" s="28">
        <v>140</v>
      </c>
      <c r="H19" s="32">
        <f t="shared" si="1"/>
        <v>433.41939619999999</v>
      </c>
      <c r="I19" s="19"/>
      <c r="J19" s="28">
        <v>140</v>
      </c>
      <c r="K19" s="29">
        <f t="shared" si="12"/>
        <v>516.97317139999996</v>
      </c>
      <c r="L19" s="11"/>
      <c r="M19" s="28">
        <v>140</v>
      </c>
      <c r="N19" s="20">
        <f t="shared" si="13"/>
        <v>558.49756339999999</v>
      </c>
      <c r="P19" s="18">
        <v>140</v>
      </c>
      <c r="Q19" s="29">
        <f t="shared" si="14"/>
        <v>59.384600800000001</v>
      </c>
      <c r="R19" s="11"/>
      <c r="S19" s="28">
        <v>140</v>
      </c>
      <c r="T19" s="29">
        <f t="shared" si="15"/>
        <v>59.407072199999995</v>
      </c>
      <c r="U19" s="11"/>
      <c r="V19" s="28">
        <v>140</v>
      </c>
      <c r="W19" s="36">
        <f t="shared" si="2"/>
        <v>59.465244999999996</v>
      </c>
      <c r="X19" s="19"/>
      <c r="Y19" s="28">
        <v>140</v>
      </c>
      <c r="Z19" s="35">
        <f t="shared" si="3"/>
        <v>59.333710800000006</v>
      </c>
      <c r="AA19" s="11"/>
      <c r="AB19" s="28">
        <v>140</v>
      </c>
      <c r="AC19" s="20">
        <f t="shared" si="4"/>
        <v>59.385531800000003</v>
      </c>
      <c r="AE19" s="18">
        <v>140</v>
      </c>
      <c r="AF19" s="29">
        <f t="shared" si="5"/>
        <v>307.25557659999998</v>
      </c>
      <c r="AG19" s="11"/>
      <c r="AH19" s="28">
        <v>140</v>
      </c>
      <c r="AI19" s="29">
        <f t="shared" si="6"/>
        <v>304.70624100000003</v>
      </c>
      <c r="AJ19" s="11"/>
      <c r="AK19" s="28">
        <v>140</v>
      </c>
      <c r="AL19" s="36">
        <f t="shared" si="7"/>
        <v>373.95415120000001</v>
      </c>
      <c r="AM19" s="19"/>
      <c r="AN19" s="28">
        <v>140</v>
      </c>
      <c r="AO19" s="35">
        <f t="shared" si="8"/>
        <v>457.63946059999995</v>
      </c>
      <c r="AP19" s="11"/>
      <c r="AQ19" s="28">
        <v>140</v>
      </c>
      <c r="AR19" s="20">
        <f t="shared" si="9"/>
        <v>499.11203159999997</v>
      </c>
      <c r="AZ19">
        <v>140</v>
      </c>
      <c r="BA19">
        <f t="shared" si="10"/>
        <v>1704.7700678400001</v>
      </c>
    </row>
    <row r="20" spans="1:53" x14ac:dyDescent="0.25">
      <c r="A20" s="28">
        <v>150</v>
      </c>
      <c r="B20" s="29">
        <f t="shared" si="11"/>
        <v>419.61538649999994</v>
      </c>
      <c r="C20" s="11"/>
      <c r="D20" s="28">
        <v>150</v>
      </c>
      <c r="E20" s="29">
        <f t="shared" si="0"/>
        <v>417.03172200000006</v>
      </c>
      <c r="F20" s="11"/>
      <c r="G20" s="28">
        <v>150</v>
      </c>
      <c r="H20" s="32">
        <f t="shared" si="1"/>
        <v>497.18185949999997</v>
      </c>
      <c r="I20" s="19"/>
      <c r="J20" s="28">
        <v>150</v>
      </c>
      <c r="K20" s="29">
        <f t="shared" si="12"/>
        <v>591.1333515</v>
      </c>
      <c r="L20" s="11"/>
      <c r="M20" s="28">
        <v>150</v>
      </c>
      <c r="N20" s="20">
        <f t="shared" si="13"/>
        <v>640.25028150000003</v>
      </c>
      <c r="P20" s="18">
        <v>150</v>
      </c>
      <c r="Q20" s="29">
        <f t="shared" si="14"/>
        <v>67.566123000000005</v>
      </c>
      <c r="R20" s="11"/>
      <c r="S20" s="28">
        <v>150</v>
      </c>
      <c r="T20" s="29">
        <f t="shared" si="15"/>
        <v>67.595869500000006</v>
      </c>
      <c r="U20" s="11"/>
      <c r="V20" s="28">
        <v>150</v>
      </c>
      <c r="W20" s="36">
        <f t="shared" si="2"/>
        <v>67.668832499999994</v>
      </c>
      <c r="X20" s="19"/>
      <c r="Y20" s="28">
        <v>150</v>
      </c>
      <c r="Z20" s="35">
        <f t="shared" si="3"/>
        <v>67.499463000000006</v>
      </c>
      <c r="AA20" s="11"/>
      <c r="AB20" s="28">
        <v>150</v>
      </c>
      <c r="AC20" s="20">
        <f t="shared" si="4"/>
        <v>67.565260499999994</v>
      </c>
      <c r="AE20" s="18">
        <v>150</v>
      </c>
      <c r="AF20" s="29">
        <f t="shared" si="5"/>
        <v>352.04926349999994</v>
      </c>
      <c r="AG20" s="11"/>
      <c r="AH20" s="28">
        <v>150</v>
      </c>
      <c r="AI20" s="29">
        <f t="shared" si="6"/>
        <v>349.43585250000007</v>
      </c>
      <c r="AJ20" s="11"/>
      <c r="AK20" s="28">
        <v>150</v>
      </c>
      <c r="AL20" s="36">
        <f t="shared" si="7"/>
        <v>429.51302699999997</v>
      </c>
      <c r="AM20" s="19"/>
      <c r="AN20" s="28">
        <v>150</v>
      </c>
      <c r="AO20" s="35">
        <f t="shared" si="8"/>
        <v>523.63388850000001</v>
      </c>
      <c r="AP20" s="11"/>
      <c r="AQ20" s="28">
        <v>150</v>
      </c>
      <c r="AR20" s="20">
        <f t="shared" si="9"/>
        <v>572.68502100000001</v>
      </c>
      <c r="AZ20">
        <v>150</v>
      </c>
      <c r="BA20">
        <f t="shared" si="10"/>
        <v>1954.1022804000002</v>
      </c>
    </row>
    <row r="21" spans="1:53" x14ac:dyDescent="0.25">
      <c r="A21" s="28">
        <v>160</v>
      </c>
      <c r="B21" s="29">
        <f t="shared" si="11"/>
        <v>476.16214559999997</v>
      </c>
      <c r="C21" s="11"/>
      <c r="D21" s="28">
        <v>160</v>
      </c>
      <c r="E21" s="29">
        <f t="shared" si="0"/>
        <v>473.53817280000004</v>
      </c>
      <c r="F21" s="11"/>
      <c r="G21" s="28">
        <v>160</v>
      </c>
      <c r="H21" s="32">
        <f t="shared" si="1"/>
        <v>565.31818080000005</v>
      </c>
      <c r="I21" s="19"/>
      <c r="J21" s="28">
        <v>160</v>
      </c>
      <c r="K21" s="29">
        <f t="shared" si="12"/>
        <v>670.25800160000006</v>
      </c>
      <c r="L21" s="11"/>
      <c r="M21" s="28">
        <v>160</v>
      </c>
      <c r="N21" s="20">
        <f t="shared" si="13"/>
        <v>727.58433760000003</v>
      </c>
      <c r="P21" s="18">
        <v>160</v>
      </c>
      <c r="Q21" s="29">
        <f t="shared" si="14"/>
        <v>76.27294719999999</v>
      </c>
      <c r="R21" s="11"/>
      <c r="S21" s="28">
        <v>160</v>
      </c>
      <c r="T21" s="29">
        <f t="shared" si="15"/>
        <v>76.310724800000003</v>
      </c>
      <c r="U21" s="11"/>
      <c r="V21" s="28">
        <v>160</v>
      </c>
      <c r="W21" s="36">
        <f t="shared" si="2"/>
        <v>76.399895999999998</v>
      </c>
      <c r="X21" s="19"/>
      <c r="Y21" s="28">
        <v>160</v>
      </c>
      <c r="Z21" s="35">
        <f t="shared" si="3"/>
        <v>76.188899200000009</v>
      </c>
      <c r="AA21" s="11"/>
      <c r="AB21" s="28">
        <v>160</v>
      </c>
      <c r="AC21" s="20">
        <f t="shared" si="4"/>
        <v>76.270043200000003</v>
      </c>
      <c r="AE21" s="18">
        <v>160</v>
      </c>
      <c r="AF21" s="29">
        <f t="shared" si="5"/>
        <v>399.8891984</v>
      </c>
      <c r="AG21" s="11"/>
      <c r="AH21" s="28">
        <v>160</v>
      </c>
      <c r="AI21" s="29">
        <f t="shared" si="6"/>
        <v>397.22744800000004</v>
      </c>
      <c r="AJ21" s="11"/>
      <c r="AK21" s="28">
        <v>160</v>
      </c>
      <c r="AL21" s="36">
        <f t="shared" si="7"/>
        <v>488.91828480000004</v>
      </c>
      <c r="AM21" s="19"/>
      <c r="AN21" s="28">
        <v>160</v>
      </c>
      <c r="AO21" s="35">
        <f t="shared" si="8"/>
        <v>594.06910240000002</v>
      </c>
      <c r="AP21" s="11"/>
      <c r="AQ21" s="28">
        <v>160</v>
      </c>
      <c r="AR21" s="20">
        <f t="shared" si="9"/>
        <v>651.31429439999999</v>
      </c>
      <c r="AZ21">
        <v>160</v>
      </c>
      <c r="BA21">
        <f t="shared" si="10"/>
        <v>2220.4428825600003</v>
      </c>
    </row>
    <row r="22" spans="1:53" x14ac:dyDescent="0.25">
      <c r="A22" s="28">
        <v>170</v>
      </c>
      <c r="B22" s="29">
        <f t="shared" si="11"/>
        <v>536.28045469999995</v>
      </c>
      <c r="C22" s="11"/>
      <c r="D22" s="28">
        <v>170</v>
      </c>
      <c r="E22" s="29">
        <f t="shared" si="0"/>
        <v>533.6326656</v>
      </c>
      <c r="F22" s="11"/>
      <c r="G22" s="28">
        <v>170</v>
      </c>
      <c r="H22" s="32">
        <f t="shared" si="1"/>
        <v>637.82836009999994</v>
      </c>
      <c r="I22" s="19"/>
      <c r="J22" s="28">
        <v>170</v>
      </c>
      <c r="K22" s="29">
        <f t="shared" si="12"/>
        <v>754.3471217</v>
      </c>
      <c r="L22" s="11"/>
      <c r="M22" s="28">
        <v>170</v>
      </c>
      <c r="N22" s="20">
        <f t="shared" si="13"/>
        <v>820.4997317000001</v>
      </c>
      <c r="P22" s="18">
        <v>170</v>
      </c>
      <c r="Q22" s="29">
        <f t="shared" si="14"/>
        <v>85.505073400000001</v>
      </c>
      <c r="R22" s="11"/>
      <c r="S22" s="28">
        <v>170</v>
      </c>
      <c r="T22" s="29">
        <f t="shared" si="15"/>
        <v>85.551638100000005</v>
      </c>
      <c r="U22" s="11"/>
      <c r="V22" s="28">
        <v>170</v>
      </c>
      <c r="W22" s="36">
        <f t="shared" si="2"/>
        <v>85.658435499999996</v>
      </c>
      <c r="X22" s="19"/>
      <c r="Y22" s="28">
        <v>170</v>
      </c>
      <c r="Z22" s="35">
        <f t="shared" si="3"/>
        <v>85.402019400000015</v>
      </c>
      <c r="AA22" s="11"/>
      <c r="AB22" s="28">
        <v>170</v>
      </c>
      <c r="AC22" s="20">
        <f t="shared" si="4"/>
        <v>85.499879899999996</v>
      </c>
      <c r="AE22" s="18">
        <v>170</v>
      </c>
      <c r="AF22" s="29">
        <f t="shared" si="5"/>
        <v>450.77538129999994</v>
      </c>
      <c r="AG22" s="11"/>
      <c r="AH22" s="28">
        <v>170</v>
      </c>
      <c r="AI22" s="29">
        <f t="shared" si="6"/>
        <v>448.0810275</v>
      </c>
      <c r="AJ22" s="11"/>
      <c r="AK22" s="28">
        <v>170</v>
      </c>
      <c r="AL22" s="36">
        <f t="shared" si="7"/>
        <v>552.16992459999994</v>
      </c>
      <c r="AM22" s="19"/>
      <c r="AN22" s="28">
        <v>170</v>
      </c>
      <c r="AO22" s="35">
        <f t="shared" si="8"/>
        <v>668.94510230000003</v>
      </c>
      <c r="AP22" s="11"/>
      <c r="AQ22" s="28">
        <v>170</v>
      </c>
      <c r="AR22" s="20">
        <f t="shared" si="9"/>
        <v>734.9998518000001</v>
      </c>
      <c r="AZ22">
        <v>170</v>
      </c>
      <c r="BA22">
        <f t="shared" si="10"/>
        <v>2503.7918743199998</v>
      </c>
    </row>
    <row r="23" spans="1:53" x14ac:dyDescent="0.25">
      <c r="A23" s="28">
        <v>180</v>
      </c>
      <c r="B23" s="29">
        <f t="shared" si="11"/>
        <v>599.97031379999999</v>
      </c>
      <c r="C23" s="11"/>
      <c r="D23" s="28">
        <v>180</v>
      </c>
      <c r="E23" s="29">
        <f t="shared" si="0"/>
        <v>597.31520040000009</v>
      </c>
      <c r="F23" s="11"/>
      <c r="G23" s="28">
        <v>180</v>
      </c>
      <c r="H23" s="32">
        <f t="shared" si="1"/>
        <v>714.71239739999999</v>
      </c>
      <c r="I23" s="19"/>
      <c r="J23" s="28">
        <v>180</v>
      </c>
      <c r="K23" s="29">
        <f t="shared" si="12"/>
        <v>843.40071179999995</v>
      </c>
      <c r="L23" s="11"/>
      <c r="M23" s="28">
        <v>180</v>
      </c>
      <c r="N23" s="20">
        <f t="shared" si="13"/>
        <v>918.99646380000001</v>
      </c>
      <c r="P23" s="18">
        <v>180</v>
      </c>
      <c r="Q23" s="29">
        <f t="shared" si="14"/>
        <v>95.262501599999993</v>
      </c>
      <c r="R23" s="11"/>
      <c r="S23" s="28">
        <v>180</v>
      </c>
      <c r="T23" s="29">
        <f t="shared" si="15"/>
        <v>95.3186094</v>
      </c>
      <c r="U23" s="11"/>
      <c r="V23" s="28">
        <v>180</v>
      </c>
      <c r="W23" s="36">
        <f t="shared" si="2"/>
        <v>95.444451000000001</v>
      </c>
      <c r="X23" s="19"/>
      <c r="Y23" s="28">
        <v>180</v>
      </c>
      <c r="Z23" s="35">
        <f t="shared" si="3"/>
        <v>95.138823600000009</v>
      </c>
      <c r="AA23" s="11"/>
      <c r="AB23" s="28">
        <v>180</v>
      </c>
      <c r="AC23" s="20">
        <f t="shared" si="4"/>
        <v>95.254770600000001</v>
      </c>
      <c r="AE23" s="18">
        <v>180</v>
      </c>
      <c r="AF23" s="29">
        <f t="shared" si="5"/>
        <v>504.70781219999998</v>
      </c>
      <c r="AG23" s="11"/>
      <c r="AH23" s="28">
        <v>180</v>
      </c>
      <c r="AI23" s="29">
        <f t="shared" si="6"/>
        <v>501.99659100000008</v>
      </c>
      <c r="AJ23" s="11"/>
      <c r="AK23" s="28">
        <v>180</v>
      </c>
      <c r="AL23" s="36">
        <f t="shared" si="7"/>
        <v>619.26794640000003</v>
      </c>
      <c r="AM23" s="19"/>
      <c r="AN23" s="28">
        <v>180</v>
      </c>
      <c r="AO23" s="35">
        <f t="shared" si="8"/>
        <v>748.26188819999993</v>
      </c>
      <c r="AP23" s="11"/>
      <c r="AQ23" s="28">
        <v>180</v>
      </c>
      <c r="AR23" s="20">
        <f t="shared" si="9"/>
        <v>823.74169319999999</v>
      </c>
      <c r="AZ23">
        <v>180</v>
      </c>
      <c r="BA23">
        <f t="shared" si="10"/>
        <v>2804.1492556799999</v>
      </c>
    </row>
    <row r="24" spans="1:53" x14ac:dyDescent="0.25">
      <c r="A24" s="28">
        <v>190</v>
      </c>
      <c r="B24" s="29">
        <f t="shared" si="11"/>
        <v>667.23172289999991</v>
      </c>
      <c r="C24" s="11"/>
      <c r="D24" s="28">
        <v>190</v>
      </c>
      <c r="E24" s="29">
        <f t="shared" si="0"/>
        <v>664.58577720000005</v>
      </c>
      <c r="F24" s="11"/>
      <c r="G24" s="28">
        <v>190</v>
      </c>
      <c r="H24" s="32">
        <f t="shared" si="1"/>
        <v>795.97029269999996</v>
      </c>
      <c r="I24" s="19"/>
      <c r="J24" s="28">
        <v>190</v>
      </c>
      <c r="K24" s="29">
        <f t="shared" si="12"/>
        <v>937.41877189999991</v>
      </c>
      <c r="L24" s="11"/>
      <c r="M24" s="28">
        <v>190</v>
      </c>
      <c r="N24" s="20">
        <f t="shared" si="13"/>
        <v>1023.0745339</v>
      </c>
      <c r="P24" s="18">
        <v>190</v>
      </c>
      <c r="Q24" s="29">
        <f t="shared" si="14"/>
        <v>105.5452318</v>
      </c>
      <c r="R24" s="11"/>
      <c r="S24" s="28">
        <v>190</v>
      </c>
      <c r="T24" s="29">
        <f t="shared" si="15"/>
        <v>105.6116387</v>
      </c>
      <c r="U24" s="11"/>
      <c r="V24" s="28">
        <v>190</v>
      </c>
      <c r="W24" s="36">
        <f t="shared" si="2"/>
        <v>105.7579425</v>
      </c>
      <c r="X24" s="19"/>
      <c r="Y24" s="28">
        <v>190</v>
      </c>
      <c r="Z24" s="35">
        <f t="shared" si="3"/>
        <v>105.39931180000001</v>
      </c>
      <c r="AA24" s="11"/>
      <c r="AB24" s="28">
        <v>190</v>
      </c>
      <c r="AC24" s="20">
        <f t="shared" si="4"/>
        <v>105.53471529999999</v>
      </c>
      <c r="AE24" s="18">
        <v>190</v>
      </c>
      <c r="AF24" s="29">
        <f t="shared" si="5"/>
        <v>561.6864910999999</v>
      </c>
      <c r="AG24" s="11"/>
      <c r="AH24" s="28">
        <v>190</v>
      </c>
      <c r="AI24" s="29">
        <f t="shared" si="6"/>
        <v>558.97413850000009</v>
      </c>
      <c r="AJ24" s="11"/>
      <c r="AK24" s="28">
        <v>190</v>
      </c>
      <c r="AL24" s="36">
        <f t="shared" si="7"/>
        <v>690.21235019999995</v>
      </c>
      <c r="AM24" s="19"/>
      <c r="AN24" s="28">
        <v>190</v>
      </c>
      <c r="AO24" s="35">
        <f t="shared" si="8"/>
        <v>832.01946009999995</v>
      </c>
      <c r="AP24" s="11"/>
      <c r="AQ24" s="28">
        <v>190</v>
      </c>
      <c r="AR24" s="20">
        <f t="shared" si="9"/>
        <v>917.53981859999999</v>
      </c>
      <c r="AZ24">
        <v>190</v>
      </c>
      <c r="BA24">
        <f t="shared" si="10"/>
        <v>3121.5150266400001</v>
      </c>
    </row>
    <row r="25" spans="1:53" ht="15.75" thickBot="1" x14ac:dyDescent="0.3">
      <c r="A25" s="30">
        <v>200</v>
      </c>
      <c r="B25" s="31">
        <f t="shared" si="11"/>
        <v>738.06468199999995</v>
      </c>
      <c r="C25" s="23"/>
      <c r="D25" s="30">
        <v>200</v>
      </c>
      <c r="E25" s="31">
        <f t="shared" si="0"/>
        <v>735.4443960000001</v>
      </c>
      <c r="F25" s="23"/>
      <c r="G25" s="30">
        <v>200</v>
      </c>
      <c r="H25" s="33">
        <f t="shared" si="1"/>
        <v>881.60204600000009</v>
      </c>
      <c r="I25" s="22"/>
      <c r="J25" s="30">
        <v>200</v>
      </c>
      <c r="K25" s="31">
        <f t="shared" si="12"/>
        <v>1036.401302</v>
      </c>
      <c r="L25" s="23"/>
      <c r="M25" s="30">
        <v>200</v>
      </c>
      <c r="N25" s="24">
        <f t="shared" si="13"/>
        <v>1132.7339420000001</v>
      </c>
      <c r="P25" s="21">
        <v>200</v>
      </c>
      <c r="Q25" s="31">
        <f t="shared" si="14"/>
        <v>116.353264</v>
      </c>
      <c r="R25" s="23"/>
      <c r="S25" s="30">
        <v>200</v>
      </c>
      <c r="T25" s="31">
        <f t="shared" si="15"/>
        <v>116.43072600000001</v>
      </c>
      <c r="U25" s="23"/>
      <c r="V25" s="30">
        <v>200</v>
      </c>
      <c r="W25" s="37">
        <f t="shared" si="2"/>
        <v>116.59890999999999</v>
      </c>
      <c r="X25" s="22"/>
      <c r="Y25" s="30">
        <v>200</v>
      </c>
      <c r="Z25" s="38">
        <f t="shared" si="3"/>
        <v>116.18348400000001</v>
      </c>
      <c r="AA25" s="23"/>
      <c r="AB25" s="30">
        <v>200</v>
      </c>
      <c r="AC25" s="24">
        <f t="shared" si="4"/>
        <v>116.33971399999999</v>
      </c>
      <c r="AE25" s="21">
        <v>200</v>
      </c>
      <c r="AF25" s="31">
        <f t="shared" si="5"/>
        <v>621.71141799999998</v>
      </c>
      <c r="AG25" s="23"/>
      <c r="AH25" s="30">
        <v>200</v>
      </c>
      <c r="AI25" s="31">
        <f t="shared" si="6"/>
        <v>619.01367000000005</v>
      </c>
      <c r="AJ25" s="23"/>
      <c r="AK25" s="30">
        <v>200</v>
      </c>
      <c r="AL25" s="37">
        <f t="shared" si="7"/>
        <v>765.00313600000004</v>
      </c>
      <c r="AM25" s="22"/>
      <c r="AN25" s="30">
        <v>200</v>
      </c>
      <c r="AO25" s="38">
        <f t="shared" si="8"/>
        <v>920.21781799999997</v>
      </c>
      <c r="AP25" s="23"/>
      <c r="AQ25" s="30">
        <v>200</v>
      </c>
      <c r="AR25" s="24">
        <f t="shared" si="9"/>
        <v>1016.3942280000001</v>
      </c>
      <c r="AZ25">
        <v>200</v>
      </c>
      <c r="BA25">
        <f t="shared" si="10"/>
        <v>3455.8891872000004</v>
      </c>
    </row>
  </sheetData>
  <mergeCells count="16">
    <mergeCell ref="M3:N3"/>
    <mergeCell ref="A1:C1"/>
    <mergeCell ref="A3:B3"/>
    <mergeCell ref="D3:E3"/>
    <mergeCell ref="G3:H3"/>
    <mergeCell ref="J3:K3"/>
    <mergeCell ref="AH3:AI3"/>
    <mergeCell ref="AK3:AL3"/>
    <mergeCell ref="AN3:AO3"/>
    <mergeCell ref="AQ3:AR3"/>
    <mergeCell ref="P3:Q3"/>
    <mergeCell ref="S3:T3"/>
    <mergeCell ref="V3:W3"/>
    <mergeCell ref="Y3:Z3"/>
    <mergeCell ref="AB3:AC3"/>
    <mergeCell ref="AE3:A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5"/>
  <sheetViews>
    <sheetView topLeftCell="Y39" zoomScale="80" zoomScaleNormal="80" workbookViewId="0">
      <selection activeCell="AS65" sqref="AS65"/>
    </sheetView>
  </sheetViews>
  <sheetFormatPr defaultRowHeight="15" x14ac:dyDescent="0.25"/>
  <cols>
    <col min="1" max="1" width="16.85546875" customWidth="1"/>
    <col min="2" max="2" width="17.42578125" customWidth="1"/>
    <col min="4" max="4" width="15.140625" customWidth="1"/>
    <col min="5" max="5" width="19" customWidth="1"/>
    <col min="7" max="7" width="16.7109375" customWidth="1"/>
    <col min="8" max="9" width="13.7109375" customWidth="1"/>
    <col min="10" max="10" width="15" customWidth="1"/>
    <col min="11" max="11" width="13.7109375" customWidth="1"/>
    <col min="13" max="13" width="15.7109375" customWidth="1"/>
    <col min="14" max="14" width="18.42578125" customWidth="1"/>
    <col min="16" max="16" width="15" customWidth="1"/>
    <col min="17" max="17" width="13.5703125" customWidth="1"/>
    <col min="18" max="18" width="7.140625" customWidth="1"/>
    <col min="19" max="19" width="16" customWidth="1"/>
    <col min="20" max="20" width="15.140625" customWidth="1"/>
    <col min="21" max="21" width="6.42578125" customWidth="1"/>
    <col min="22" max="22" width="13.85546875" customWidth="1"/>
    <col min="23" max="23" width="11.7109375" customWidth="1"/>
    <col min="25" max="25" width="17.7109375" customWidth="1"/>
    <col min="26" max="26" width="18" customWidth="1"/>
    <col min="28" max="28" width="13.7109375" customWidth="1"/>
    <col min="29" max="29" width="12.5703125" customWidth="1"/>
    <col min="31" max="31" width="12" customWidth="1"/>
    <col min="32" max="32" width="11" customWidth="1"/>
    <col min="33" max="33" width="6" customWidth="1"/>
    <col min="34" max="35" width="12.7109375" customWidth="1"/>
    <col min="36" max="36" width="5.5703125" customWidth="1"/>
    <col min="37" max="37" width="13.5703125" customWidth="1"/>
    <col min="38" max="38" width="14" customWidth="1"/>
    <col min="39" max="39" width="6.28515625" customWidth="1"/>
    <col min="40" max="40" width="12.42578125" customWidth="1"/>
    <col min="41" max="41" width="12.85546875" customWidth="1"/>
    <col min="42" max="42" width="9.140625" customWidth="1"/>
    <col min="43" max="43" width="11.7109375" customWidth="1"/>
    <col min="44" max="44" width="9.140625" customWidth="1"/>
  </cols>
  <sheetData>
    <row r="1" spans="1:44" ht="15" customHeight="1" x14ac:dyDescent="0.25">
      <c r="A1" s="62" t="s">
        <v>23</v>
      </c>
      <c r="B1" s="62"/>
      <c r="C1" s="62"/>
      <c r="P1" s="25" t="s">
        <v>43</v>
      </c>
      <c r="Q1" s="25"/>
      <c r="R1" s="25"/>
    </row>
    <row r="2" spans="1:44" ht="15.75" thickBot="1" x14ac:dyDescent="0.3">
      <c r="AE2" t="s">
        <v>42</v>
      </c>
    </row>
    <row r="3" spans="1:44" ht="30" customHeight="1" x14ac:dyDescent="0.25">
      <c r="A3" s="58" t="s">
        <v>34</v>
      </c>
      <c r="B3" s="59"/>
      <c r="C3" s="13"/>
      <c r="D3" s="58" t="s">
        <v>33</v>
      </c>
      <c r="E3" s="59"/>
      <c r="F3" s="13"/>
      <c r="G3" s="58" t="s">
        <v>32</v>
      </c>
      <c r="H3" s="59"/>
      <c r="I3" s="14"/>
      <c r="J3" s="58" t="s">
        <v>31</v>
      </c>
      <c r="K3" s="59"/>
      <c r="L3" s="13"/>
      <c r="M3" s="58" t="s">
        <v>35</v>
      </c>
      <c r="N3" s="60"/>
      <c r="P3" s="61" t="s">
        <v>25</v>
      </c>
      <c r="Q3" s="59"/>
      <c r="R3" s="13"/>
      <c r="S3" s="58" t="s">
        <v>26</v>
      </c>
      <c r="T3" s="59"/>
      <c r="U3" s="13"/>
      <c r="V3" s="58" t="s">
        <v>27</v>
      </c>
      <c r="W3" s="59"/>
      <c r="X3" s="14"/>
      <c r="Y3" s="58" t="s">
        <v>28</v>
      </c>
      <c r="Z3" s="59"/>
      <c r="AA3" s="13"/>
      <c r="AB3" s="58" t="s">
        <v>29</v>
      </c>
      <c r="AC3" s="60"/>
      <c r="AE3" s="61" t="s">
        <v>36</v>
      </c>
      <c r="AF3" s="59"/>
      <c r="AG3" s="13"/>
      <c r="AH3" s="58" t="s">
        <v>37</v>
      </c>
      <c r="AI3" s="59"/>
      <c r="AJ3" s="13"/>
      <c r="AK3" s="58" t="s">
        <v>38</v>
      </c>
      <c r="AL3" s="59"/>
      <c r="AM3" s="14"/>
      <c r="AN3" s="58" t="s">
        <v>39</v>
      </c>
      <c r="AO3" s="59"/>
      <c r="AP3" s="13"/>
      <c r="AQ3" s="58" t="s">
        <v>40</v>
      </c>
      <c r="AR3" s="60"/>
    </row>
    <row r="4" spans="1:44" ht="45" x14ac:dyDescent="0.25">
      <c r="A4" s="26" t="s">
        <v>22</v>
      </c>
      <c r="B4" s="27" t="s">
        <v>24</v>
      </c>
      <c r="C4" s="11"/>
      <c r="D4" s="26" t="s">
        <v>22</v>
      </c>
      <c r="E4" s="27" t="s">
        <v>24</v>
      </c>
      <c r="F4" s="11"/>
      <c r="G4" s="26" t="s">
        <v>22</v>
      </c>
      <c r="H4" s="27" t="s">
        <v>24</v>
      </c>
      <c r="I4" s="16"/>
      <c r="J4" s="26" t="s">
        <v>22</v>
      </c>
      <c r="K4" s="27" t="s">
        <v>24</v>
      </c>
      <c r="L4" s="11"/>
      <c r="M4" s="26" t="s">
        <v>22</v>
      </c>
      <c r="N4" s="17" t="s">
        <v>24</v>
      </c>
      <c r="P4" s="15" t="s">
        <v>22</v>
      </c>
      <c r="Q4" s="27" t="s">
        <v>24</v>
      </c>
      <c r="R4" s="11"/>
      <c r="S4" s="26" t="s">
        <v>22</v>
      </c>
      <c r="T4" s="27" t="s">
        <v>24</v>
      </c>
      <c r="U4" s="11"/>
      <c r="V4" s="26" t="s">
        <v>22</v>
      </c>
      <c r="W4" s="27" t="s">
        <v>24</v>
      </c>
      <c r="X4" s="16"/>
      <c r="Y4" s="26" t="s">
        <v>22</v>
      </c>
      <c r="Z4" s="27" t="s">
        <v>24</v>
      </c>
      <c r="AA4" s="11"/>
      <c r="AB4" s="26" t="s">
        <v>22</v>
      </c>
      <c r="AC4" s="17" t="s">
        <v>24</v>
      </c>
      <c r="AE4" s="15" t="s">
        <v>22</v>
      </c>
      <c r="AF4" s="27" t="s">
        <v>41</v>
      </c>
      <c r="AG4" s="11"/>
      <c r="AH4" s="26" t="s">
        <v>22</v>
      </c>
      <c r="AI4" s="27" t="s">
        <v>41</v>
      </c>
      <c r="AJ4" s="11"/>
      <c r="AK4" s="26" t="s">
        <v>22</v>
      </c>
      <c r="AL4" s="27" t="s">
        <v>41</v>
      </c>
      <c r="AM4" s="16"/>
      <c r="AN4" s="26" t="s">
        <v>22</v>
      </c>
      <c r="AO4" s="27" t="s">
        <v>41</v>
      </c>
      <c r="AP4" s="11"/>
      <c r="AQ4" s="26" t="s">
        <v>22</v>
      </c>
      <c r="AR4" s="17" t="s">
        <v>41</v>
      </c>
    </row>
    <row r="5" spans="1:44" x14ac:dyDescent="0.25">
      <c r="A5" s="28">
        <v>0</v>
      </c>
      <c r="B5" s="29">
        <f xml:space="preserve"> 0.01785775*A5^2 + 0.11877341*A5</f>
        <v>0</v>
      </c>
      <c r="C5" s="11"/>
      <c r="D5" s="28">
        <v>0</v>
      </c>
      <c r="E5" s="29">
        <f xml:space="preserve"> 0.01794021*D5^2 + 0.08917998*D5</f>
        <v>0</v>
      </c>
      <c r="F5" s="11"/>
      <c r="G5" s="28">
        <v>0</v>
      </c>
      <c r="H5" s="32">
        <f>0.02186929*G5^2 + 0.03415223*G5</f>
        <v>0</v>
      </c>
      <c r="I5" s="19"/>
      <c r="J5" s="28">
        <v>0</v>
      </c>
      <c r="K5" s="29">
        <f xml:space="preserve"> 0.02482235*J5^2 + 0.21753651*J5</f>
        <v>0</v>
      </c>
      <c r="L5" s="11"/>
      <c r="M5" s="28">
        <v>0</v>
      </c>
      <c r="N5" s="20">
        <f>0.02790669*M5^2 + 0.08233171*M5</f>
        <v>0</v>
      </c>
      <c r="P5" s="18">
        <v>0</v>
      </c>
      <c r="Q5" s="29">
        <f>0.00262651*P5^2 + 0.05646432*P5</f>
        <v>0</v>
      </c>
      <c r="R5" s="11"/>
      <c r="S5" s="28">
        <v>0</v>
      </c>
      <c r="T5" s="29">
        <f>0.00263029*S5^2 + 0.05609563*S5</f>
        <v>0</v>
      </c>
      <c r="U5" s="11"/>
      <c r="V5" s="28">
        <v>0</v>
      </c>
      <c r="W5" s="36">
        <f>0.00263738*V5^2 + 0.05551855*V5</f>
        <v>0</v>
      </c>
      <c r="X5" s="19"/>
      <c r="Y5" s="28">
        <v>0</v>
      </c>
      <c r="Z5" s="35">
        <f>0.00261842*Y5^2 + 0.05723342*Y5</f>
        <v>0</v>
      </c>
      <c r="AA5" s="11"/>
      <c r="AB5" s="28">
        <v>0</v>
      </c>
      <c r="AC5" s="20">
        <f xml:space="preserve"> 0.00262527*AB5^2 + 0.05664457*AB5</f>
        <v>0</v>
      </c>
      <c r="AE5" s="18">
        <v>0</v>
      </c>
      <c r="AF5" s="29">
        <f>B5-Q5</f>
        <v>0</v>
      </c>
      <c r="AG5" s="11"/>
      <c r="AH5" s="28">
        <v>0</v>
      </c>
      <c r="AI5" s="29">
        <f>E5-T5</f>
        <v>0</v>
      </c>
      <c r="AJ5" s="11"/>
      <c r="AK5" s="28">
        <v>0</v>
      </c>
      <c r="AL5" s="36">
        <f>H5-W5</f>
        <v>0</v>
      </c>
      <c r="AM5" s="19"/>
      <c r="AN5" s="28">
        <v>0</v>
      </c>
      <c r="AO5" s="35">
        <f>K5-Z5</f>
        <v>0</v>
      </c>
      <c r="AP5" s="11"/>
      <c r="AQ5" s="28">
        <v>0</v>
      </c>
      <c r="AR5" s="20">
        <f>N5-AC5</f>
        <v>0</v>
      </c>
    </row>
    <row r="6" spans="1:44" ht="15" customHeight="1" x14ac:dyDescent="0.25">
      <c r="A6" s="28">
        <v>10</v>
      </c>
      <c r="B6" s="29">
        <f xml:space="preserve"> 0.01785775*A6^2 + 0.11877341*A6</f>
        <v>2.9735090999999998</v>
      </c>
      <c r="C6" s="11"/>
      <c r="D6" s="28">
        <v>10</v>
      </c>
      <c r="E6" s="29">
        <f t="shared" ref="E6:E25" si="0" xml:space="preserve"> 0.01794021*D6^2 + 0.08917998*D6</f>
        <v>2.6858208000000001</v>
      </c>
      <c r="F6" s="11"/>
      <c r="G6" s="28">
        <v>10</v>
      </c>
      <c r="H6" s="32">
        <f t="shared" ref="H6:H25" si="1">0.02186929*G6^2 + 0.03415223*G6</f>
        <v>2.5284513</v>
      </c>
      <c r="I6" s="19"/>
      <c r="J6" s="28">
        <v>10</v>
      </c>
      <c r="K6" s="29">
        <f xml:space="preserve"> 0.02482235*J6^2 + 0.21753651*J6</f>
        <v>4.6576000999999998</v>
      </c>
      <c r="L6" s="11"/>
      <c r="M6" s="28">
        <v>10</v>
      </c>
      <c r="N6" s="20">
        <f>0.02790669*M6^2 + 0.08233171*M6</f>
        <v>3.6139861000000004</v>
      </c>
      <c r="P6" s="18">
        <v>10</v>
      </c>
      <c r="Q6" s="29">
        <f>0.00262651*P6^2 + 0.05646432*P6</f>
        <v>0.82729419999999998</v>
      </c>
      <c r="R6" s="11"/>
      <c r="S6" s="28">
        <v>10</v>
      </c>
      <c r="T6" s="29">
        <f>0.00263029*S6^2 + 0.05609563*S6</f>
        <v>0.82398529999999992</v>
      </c>
      <c r="U6" s="11"/>
      <c r="V6" s="28">
        <v>10</v>
      </c>
      <c r="W6" s="36">
        <f t="shared" ref="W6:W25" si="2">0.00263738*V6^2 + 0.05551855*V6</f>
        <v>0.81892349999999992</v>
      </c>
      <c r="X6" s="19"/>
      <c r="Y6" s="28">
        <v>10</v>
      </c>
      <c r="Z6" s="35">
        <f t="shared" ref="Z6:Z25" si="3">0.00261842*Y6^2 + 0.05723342*Y6</f>
        <v>0.83417620000000003</v>
      </c>
      <c r="AA6" s="34" t="s">
        <v>30</v>
      </c>
      <c r="AB6" s="28">
        <v>10</v>
      </c>
      <c r="AC6" s="20">
        <f t="shared" ref="AC6:AC25" si="4" xml:space="preserve"> 0.00262527*AB6^2 + 0.05664457*AB6</f>
        <v>0.82897270000000001</v>
      </c>
      <c r="AE6" s="18">
        <v>10</v>
      </c>
      <c r="AF6" s="29">
        <f t="shared" ref="AF6:AF25" si="5">B6-Q6</f>
        <v>2.1462148999999999</v>
      </c>
      <c r="AG6" s="11"/>
      <c r="AH6" s="28">
        <v>10</v>
      </c>
      <c r="AI6" s="29">
        <f t="shared" ref="AI6:AI25" si="6">E6-T6</f>
        <v>1.8618355000000002</v>
      </c>
      <c r="AJ6" s="11"/>
      <c r="AK6" s="28">
        <v>10</v>
      </c>
      <c r="AL6" s="36">
        <f t="shared" ref="AL6:AL25" si="7">H6-W6</f>
        <v>1.7095278</v>
      </c>
      <c r="AM6" s="19"/>
      <c r="AN6" s="28">
        <v>10</v>
      </c>
      <c r="AO6" s="35">
        <f t="shared" ref="AO6:AO25" si="8">K6-Z6</f>
        <v>3.8234238999999999</v>
      </c>
      <c r="AP6" s="34" t="s">
        <v>30</v>
      </c>
      <c r="AQ6" s="28">
        <v>10</v>
      </c>
      <c r="AR6" s="20">
        <f t="shared" ref="AR6:AR25" si="9">N6-AC6</f>
        <v>2.7850134000000004</v>
      </c>
    </row>
    <row r="7" spans="1:44" x14ac:dyDescent="0.25">
      <c r="A7" s="28">
        <v>20</v>
      </c>
      <c r="B7" s="29">
        <f t="shared" ref="B7:B25" si="10" xml:space="preserve"> 0.01785775*A7^2 + 0.11877341*A7</f>
        <v>9.5185681999999989</v>
      </c>
      <c r="C7" s="11"/>
      <c r="D7" s="28">
        <v>20</v>
      </c>
      <c r="E7" s="29">
        <f t="shared" si="0"/>
        <v>8.9596836</v>
      </c>
      <c r="F7" s="11"/>
      <c r="G7" s="28">
        <v>20</v>
      </c>
      <c r="H7" s="32">
        <f t="shared" si="1"/>
        <v>9.430760600000001</v>
      </c>
      <c r="I7" s="19"/>
      <c r="J7" s="28">
        <v>20</v>
      </c>
      <c r="K7" s="29">
        <f t="shared" ref="K7:K25" si="11" xml:space="preserve"> 0.02482235*J7^2 + 0.21753651*J7</f>
        <v>14.279670200000002</v>
      </c>
      <c r="L7" s="11"/>
      <c r="M7" s="28">
        <v>20</v>
      </c>
      <c r="N7" s="20">
        <f t="shared" ref="N7:N25" si="12">0.02790669*M7^2 + 0.08233171*M7</f>
        <v>12.809310200000001</v>
      </c>
      <c r="P7" s="18">
        <v>20</v>
      </c>
      <c r="Q7" s="29">
        <f t="shared" ref="Q7:Q25" si="13">0.00262651*P7^2 + 0.05646432*P7</f>
        <v>2.1798903999999997</v>
      </c>
      <c r="R7" s="11"/>
      <c r="S7" s="28">
        <v>20</v>
      </c>
      <c r="T7" s="29">
        <f t="shared" ref="T7:T25" si="14">0.00263029*S7^2 + 0.05609563*S7</f>
        <v>2.1740285999999998</v>
      </c>
      <c r="U7" s="11"/>
      <c r="V7" s="28">
        <v>20</v>
      </c>
      <c r="W7" s="36">
        <f t="shared" si="2"/>
        <v>2.1653229999999999</v>
      </c>
      <c r="X7" s="19"/>
      <c r="Y7" s="28">
        <v>20</v>
      </c>
      <c r="Z7" s="35">
        <f t="shared" si="3"/>
        <v>2.1920364000000001</v>
      </c>
      <c r="AA7" s="11"/>
      <c r="AB7" s="28">
        <v>20</v>
      </c>
      <c r="AC7" s="20">
        <f t="shared" si="4"/>
        <v>2.1829993999999999</v>
      </c>
      <c r="AE7" s="18">
        <v>20</v>
      </c>
      <c r="AF7" s="29">
        <f t="shared" si="5"/>
        <v>7.3386777999999993</v>
      </c>
      <c r="AG7" s="11"/>
      <c r="AH7" s="28">
        <v>20</v>
      </c>
      <c r="AI7" s="29">
        <f t="shared" si="6"/>
        <v>6.7856550000000002</v>
      </c>
      <c r="AJ7" s="11"/>
      <c r="AK7" s="28">
        <v>20</v>
      </c>
      <c r="AL7" s="36">
        <f t="shared" si="7"/>
        <v>7.2654376000000012</v>
      </c>
      <c r="AM7" s="19"/>
      <c r="AN7" s="28">
        <v>20</v>
      </c>
      <c r="AO7" s="35">
        <f t="shared" si="8"/>
        <v>12.087633800000003</v>
      </c>
      <c r="AP7" s="11"/>
      <c r="AQ7" s="28">
        <v>20</v>
      </c>
      <c r="AR7" s="20">
        <f t="shared" si="9"/>
        <v>10.626310800000001</v>
      </c>
    </row>
    <row r="8" spans="1:44" x14ac:dyDescent="0.25">
      <c r="A8" s="28">
        <v>30</v>
      </c>
      <c r="B8" s="29">
        <f t="shared" si="10"/>
        <v>19.635177299999999</v>
      </c>
      <c r="C8" s="11"/>
      <c r="D8" s="28">
        <v>30</v>
      </c>
      <c r="E8" s="29">
        <f t="shared" si="0"/>
        <v>18.8215884</v>
      </c>
      <c r="F8" s="11"/>
      <c r="G8" s="28">
        <v>30</v>
      </c>
      <c r="H8" s="32">
        <f t="shared" si="1"/>
        <v>20.7069279</v>
      </c>
      <c r="I8" s="19"/>
      <c r="J8" s="28">
        <v>30</v>
      </c>
      <c r="K8" s="29">
        <f t="shared" si="11"/>
        <v>28.866210299999999</v>
      </c>
      <c r="L8" s="11"/>
      <c r="M8" s="28">
        <v>30</v>
      </c>
      <c r="N8" s="20">
        <f t="shared" si="12"/>
        <v>27.585972300000002</v>
      </c>
      <c r="P8" s="18">
        <v>30</v>
      </c>
      <c r="Q8" s="29">
        <f t="shared" si="13"/>
        <v>4.0577885999999994</v>
      </c>
      <c r="R8" s="11"/>
      <c r="S8" s="28">
        <v>30</v>
      </c>
      <c r="T8" s="29">
        <f t="shared" si="14"/>
        <v>4.0501298999999999</v>
      </c>
      <c r="U8" s="11"/>
      <c r="V8" s="28">
        <v>30</v>
      </c>
      <c r="W8" s="36">
        <f t="shared" si="2"/>
        <v>4.0391984999999995</v>
      </c>
      <c r="X8" s="19"/>
      <c r="Y8" s="28">
        <v>30</v>
      </c>
      <c r="Z8" s="35">
        <f t="shared" si="3"/>
        <v>4.0735806000000006</v>
      </c>
      <c r="AA8" s="11"/>
      <c r="AB8" s="28">
        <v>30</v>
      </c>
      <c r="AC8" s="20">
        <f t="shared" si="4"/>
        <v>4.0620801000000002</v>
      </c>
      <c r="AE8" s="18">
        <v>30</v>
      </c>
      <c r="AF8" s="29">
        <f t="shared" si="5"/>
        <v>15.5773887</v>
      </c>
      <c r="AG8" s="11"/>
      <c r="AH8" s="28">
        <v>30</v>
      </c>
      <c r="AI8" s="29">
        <f t="shared" si="6"/>
        <v>14.7714585</v>
      </c>
      <c r="AJ8" s="11"/>
      <c r="AK8" s="28">
        <v>30</v>
      </c>
      <c r="AL8" s="36">
        <f t="shared" si="7"/>
        <v>16.667729399999999</v>
      </c>
      <c r="AM8" s="19"/>
      <c r="AN8" s="28">
        <v>30</v>
      </c>
      <c r="AO8" s="35">
        <f t="shared" si="8"/>
        <v>24.792629699999999</v>
      </c>
      <c r="AP8" s="11"/>
      <c r="AQ8" s="28">
        <v>30</v>
      </c>
      <c r="AR8" s="20">
        <f t="shared" si="9"/>
        <v>23.523892200000002</v>
      </c>
    </row>
    <row r="9" spans="1:44" x14ac:dyDescent="0.25">
      <c r="A9" s="28">
        <v>40</v>
      </c>
      <c r="B9" s="29">
        <f t="shared" si="10"/>
        <v>33.323336399999995</v>
      </c>
      <c r="C9" s="11"/>
      <c r="D9" s="28">
        <v>40</v>
      </c>
      <c r="E9" s="29">
        <f t="shared" si="0"/>
        <v>32.271535200000002</v>
      </c>
      <c r="F9" s="11"/>
      <c r="G9" s="28">
        <v>40</v>
      </c>
      <c r="H9" s="32">
        <f t="shared" si="1"/>
        <v>36.3569532</v>
      </c>
      <c r="I9" s="19"/>
      <c r="J9" s="28">
        <v>40</v>
      </c>
      <c r="K9" s="29">
        <f t="shared" si="11"/>
        <v>48.417220400000005</v>
      </c>
      <c r="L9" s="11"/>
      <c r="M9" s="28">
        <v>40</v>
      </c>
      <c r="N9" s="20">
        <f t="shared" si="12"/>
        <v>47.943972400000007</v>
      </c>
      <c r="P9" s="18">
        <v>40</v>
      </c>
      <c r="Q9" s="29">
        <f t="shared" si="13"/>
        <v>6.4609887999999991</v>
      </c>
      <c r="R9" s="11"/>
      <c r="S9" s="28">
        <v>40</v>
      </c>
      <c r="T9" s="29">
        <f t="shared" si="14"/>
        <v>6.4522892000000001</v>
      </c>
      <c r="U9" s="11"/>
      <c r="V9" s="28">
        <v>40</v>
      </c>
      <c r="W9" s="36">
        <f t="shared" si="2"/>
        <v>6.44055</v>
      </c>
      <c r="X9" s="19"/>
      <c r="Y9" s="28">
        <v>40</v>
      </c>
      <c r="Z9" s="35">
        <f t="shared" si="3"/>
        <v>6.4788088000000004</v>
      </c>
      <c r="AA9" s="11"/>
      <c r="AB9" s="28">
        <v>40</v>
      </c>
      <c r="AC9" s="20">
        <f t="shared" si="4"/>
        <v>6.4662147999999995</v>
      </c>
      <c r="AE9" s="18">
        <v>40</v>
      </c>
      <c r="AF9" s="29">
        <f t="shared" si="5"/>
        <v>26.862347599999996</v>
      </c>
      <c r="AG9" s="11"/>
      <c r="AH9" s="28">
        <v>40</v>
      </c>
      <c r="AI9" s="29">
        <f t="shared" si="6"/>
        <v>25.819246000000003</v>
      </c>
      <c r="AJ9" s="11"/>
      <c r="AK9" s="28">
        <v>40</v>
      </c>
      <c r="AL9" s="36">
        <f t="shared" si="7"/>
        <v>29.916403199999998</v>
      </c>
      <c r="AM9" s="19"/>
      <c r="AN9" s="28">
        <v>40</v>
      </c>
      <c r="AO9" s="35">
        <f t="shared" si="8"/>
        <v>41.938411600000002</v>
      </c>
      <c r="AP9" s="11"/>
      <c r="AQ9" s="28">
        <v>40</v>
      </c>
      <c r="AR9" s="20">
        <f t="shared" si="9"/>
        <v>41.477757600000004</v>
      </c>
    </row>
    <row r="10" spans="1:44" x14ac:dyDescent="0.25">
      <c r="A10" s="28">
        <v>50</v>
      </c>
      <c r="B10" s="29">
        <f t="shared" si="10"/>
        <v>50.583045499999997</v>
      </c>
      <c r="C10" s="11"/>
      <c r="D10" s="28">
        <v>50</v>
      </c>
      <c r="E10" s="29">
        <f t="shared" si="0"/>
        <v>49.309524000000003</v>
      </c>
      <c r="F10" s="11"/>
      <c r="G10" s="28">
        <v>50</v>
      </c>
      <c r="H10" s="32">
        <f t="shared" si="1"/>
        <v>56.380836500000001</v>
      </c>
      <c r="I10" s="19"/>
      <c r="J10" s="28">
        <v>50</v>
      </c>
      <c r="K10" s="29">
        <f t="shared" si="11"/>
        <v>72.932700499999996</v>
      </c>
      <c r="L10" s="11"/>
      <c r="M10" s="28">
        <v>50</v>
      </c>
      <c r="N10" s="20">
        <f t="shared" si="12"/>
        <v>73.883310500000007</v>
      </c>
      <c r="P10" s="18">
        <v>50</v>
      </c>
      <c r="Q10" s="29">
        <f t="shared" si="13"/>
        <v>9.3894909999999996</v>
      </c>
      <c r="R10" s="11"/>
      <c r="S10" s="28">
        <v>50</v>
      </c>
      <c r="T10" s="29">
        <f t="shared" si="14"/>
        <v>9.3805064999999992</v>
      </c>
      <c r="U10" s="11"/>
      <c r="V10" s="28">
        <v>50</v>
      </c>
      <c r="W10" s="36">
        <f t="shared" si="2"/>
        <v>9.3693774999999988</v>
      </c>
      <c r="X10" s="19"/>
      <c r="Y10" s="28">
        <v>50</v>
      </c>
      <c r="Z10" s="35">
        <f t="shared" si="3"/>
        <v>9.4077210000000004</v>
      </c>
      <c r="AA10" s="11"/>
      <c r="AB10" s="28">
        <v>50</v>
      </c>
      <c r="AC10" s="20">
        <f t="shared" si="4"/>
        <v>9.3954034999999987</v>
      </c>
      <c r="AE10" s="18">
        <v>50</v>
      </c>
      <c r="AF10" s="29">
        <f t="shared" si="5"/>
        <v>41.193554499999998</v>
      </c>
      <c r="AG10" s="11"/>
      <c r="AH10" s="28">
        <v>50</v>
      </c>
      <c r="AI10" s="29">
        <f t="shared" si="6"/>
        <v>39.9290175</v>
      </c>
      <c r="AJ10" s="11"/>
      <c r="AK10" s="28">
        <v>50</v>
      </c>
      <c r="AL10" s="36">
        <f t="shared" si="7"/>
        <v>47.011459000000002</v>
      </c>
      <c r="AM10" s="19"/>
      <c r="AN10" s="28">
        <v>50</v>
      </c>
      <c r="AO10" s="35">
        <f t="shared" si="8"/>
        <v>63.524979499999993</v>
      </c>
      <c r="AP10" s="11"/>
      <c r="AQ10" s="28">
        <v>50</v>
      </c>
      <c r="AR10" s="20">
        <f t="shared" si="9"/>
        <v>64.487907000000007</v>
      </c>
    </row>
    <row r="11" spans="1:44" x14ac:dyDescent="0.25">
      <c r="A11" s="28">
        <v>60</v>
      </c>
      <c r="B11" s="29">
        <f t="shared" si="10"/>
        <v>71.414304599999994</v>
      </c>
      <c r="C11" s="11"/>
      <c r="D11" s="28">
        <v>60</v>
      </c>
      <c r="E11" s="29">
        <f t="shared" si="0"/>
        <v>69.935554800000006</v>
      </c>
      <c r="F11" s="11"/>
      <c r="G11" s="28">
        <v>60</v>
      </c>
      <c r="H11" s="32">
        <f t="shared" si="1"/>
        <v>80.778577799999994</v>
      </c>
      <c r="I11" s="19"/>
      <c r="J11" s="28">
        <v>60</v>
      </c>
      <c r="K11" s="29">
        <f t="shared" si="11"/>
        <v>102.41265060000001</v>
      </c>
      <c r="L11" s="11"/>
      <c r="M11" s="28">
        <v>60</v>
      </c>
      <c r="N11" s="20">
        <f t="shared" si="12"/>
        <v>105.4039866</v>
      </c>
      <c r="P11" s="18">
        <v>60</v>
      </c>
      <c r="Q11" s="29">
        <f t="shared" si="13"/>
        <v>12.843295199999998</v>
      </c>
      <c r="R11" s="11"/>
      <c r="S11" s="28">
        <v>60</v>
      </c>
      <c r="T11" s="29">
        <f t="shared" si="14"/>
        <v>12.8347818</v>
      </c>
      <c r="U11" s="11"/>
      <c r="V11" s="28">
        <v>60</v>
      </c>
      <c r="W11" s="36">
        <f t="shared" si="2"/>
        <v>12.825680999999999</v>
      </c>
      <c r="X11" s="19"/>
      <c r="Y11" s="28">
        <v>60</v>
      </c>
      <c r="Z11" s="35">
        <f t="shared" si="3"/>
        <v>12.860317200000001</v>
      </c>
      <c r="AA11" s="11"/>
      <c r="AB11" s="28">
        <v>60</v>
      </c>
      <c r="AC11" s="20">
        <f t="shared" si="4"/>
        <v>12.8496462</v>
      </c>
      <c r="AE11" s="18">
        <v>60</v>
      </c>
      <c r="AF11" s="29">
        <f t="shared" si="5"/>
        <v>58.571009399999994</v>
      </c>
      <c r="AG11" s="11"/>
      <c r="AH11" s="28">
        <v>60</v>
      </c>
      <c r="AI11" s="29">
        <f t="shared" si="6"/>
        <v>57.100773000000004</v>
      </c>
      <c r="AJ11" s="11"/>
      <c r="AK11" s="28">
        <v>60</v>
      </c>
      <c r="AL11" s="36">
        <f t="shared" si="7"/>
        <v>67.952896799999991</v>
      </c>
      <c r="AM11" s="19"/>
      <c r="AN11" s="28">
        <v>60</v>
      </c>
      <c r="AO11" s="35">
        <f t="shared" si="8"/>
        <v>89.552333400000009</v>
      </c>
      <c r="AP11" s="11"/>
      <c r="AQ11" s="28">
        <v>60</v>
      </c>
      <c r="AR11" s="20">
        <f t="shared" si="9"/>
        <v>92.554340400000001</v>
      </c>
    </row>
    <row r="12" spans="1:44" x14ac:dyDescent="0.25">
      <c r="A12" s="28">
        <v>70</v>
      </c>
      <c r="B12" s="29">
        <f t="shared" si="10"/>
        <v>95.817113699999993</v>
      </c>
      <c r="C12" s="11"/>
      <c r="D12" s="28">
        <v>70</v>
      </c>
      <c r="E12" s="29">
        <f t="shared" si="0"/>
        <v>94.149627600000002</v>
      </c>
      <c r="F12" s="11"/>
      <c r="G12" s="28">
        <v>70</v>
      </c>
      <c r="H12" s="32">
        <f t="shared" si="1"/>
        <v>109.5501771</v>
      </c>
      <c r="I12" s="19"/>
      <c r="J12" s="28">
        <v>70</v>
      </c>
      <c r="K12" s="29">
        <f t="shared" si="11"/>
        <v>136.85707070000001</v>
      </c>
      <c r="L12" s="11"/>
      <c r="M12" s="28">
        <v>70</v>
      </c>
      <c r="N12" s="20">
        <f t="shared" si="12"/>
        <v>142.50600070000002</v>
      </c>
      <c r="P12" s="18">
        <v>70</v>
      </c>
      <c r="Q12" s="29">
        <f t="shared" si="13"/>
        <v>16.8224014</v>
      </c>
      <c r="R12" s="11"/>
      <c r="S12" s="28">
        <v>70</v>
      </c>
      <c r="T12" s="29">
        <f t="shared" si="14"/>
        <v>16.8151151</v>
      </c>
      <c r="U12" s="11"/>
      <c r="V12" s="28">
        <v>70</v>
      </c>
      <c r="W12" s="36">
        <f t="shared" si="2"/>
        <v>16.8094605</v>
      </c>
      <c r="X12" s="19"/>
      <c r="Y12" s="28">
        <v>70</v>
      </c>
      <c r="Z12" s="35">
        <f t="shared" si="3"/>
        <v>16.836597400000002</v>
      </c>
      <c r="AA12" s="11"/>
      <c r="AB12" s="28">
        <v>70</v>
      </c>
      <c r="AC12" s="20">
        <f t="shared" si="4"/>
        <v>16.828942900000001</v>
      </c>
      <c r="AE12" s="18">
        <v>70</v>
      </c>
      <c r="AF12" s="29">
        <f t="shared" si="5"/>
        <v>78.994712299999989</v>
      </c>
      <c r="AG12" s="11"/>
      <c r="AH12" s="28">
        <v>70</v>
      </c>
      <c r="AI12" s="29">
        <f t="shared" si="6"/>
        <v>77.334512500000002</v>
      </c>
      <c r="AJ12" s="11"/>
      <c r="AK12" s="28">
        <v>70</v>
      </c>
      <c r="AL12" s="36">
        <f t="shared" si="7"/>
        <v>92.740716599999999</v>
      </c>
      <c r="AM12" s="19"/>
      <c r="AN12" s="28">
        <v>70</v>
      </c>
      <c r="AO12" s="35">
        <f t="shared" si="8"/>
        <v>120.02047330000001</v>
      </c>
      <c r="AP12" s="11"/>
      <c r="AQ12" s="28">
        <v>70</v>
      </c>
      <c r="AR12" s="20">
        <f t="shared" si="9"/>
        <v>125.67705780000001</v>
      </c>
    </row>
    <row r="13" spans="1:44" x14ac:dyDescent="0.25">
      <c r="A13" s="28">
        <v>80</v>
      </c>
      <c r="B13" s="29">
        <f t="shared" si="10"/>
        <v>123.79147279999999</v>
      </c>
      <c r="C13" s="11"/>
      <c r="D13" s="28">
        <v>80</v>
      </c>
      <c r="E13" s="29">
        <f t="shared" si="0"/>
        <v>121.9517424</v>
      </c>
      <c r="F13" s="11"/>
      <c r="G13" s="28">
        <v>80</v>
      </c>
      <c r="H13" s="32">
        <f t="shared" si="1"/>
        <v>142.69563440000002</v>
      </c>
      <c r="I13" s="19"/>
      <c r="J13" s="28">
        <v>80</v>
      </c>
      <c r="K13" s="29">
        <f t="shared" si="11"/>
        <v>176.26596080000002</v>
      </c>
      <c r="L13" s="11"/>
      <c r="M13" s="28">
        <v>80</v>
      </c>
      <c r="N13" s="20">
        <f t="shared" si="12"/>
        <v>185.18935280000002</v>
      </c>
      <c r="P13" s="18">
        <v>80</v>
      </c>
      <c r="Q13" s="29">
        <f t="shared" si="13"/>
        <v>21.326809599999997</v>
      </c>
      <c r="R13" s="11"/>
      <c r="S13" s="28">
        <v>80</v>
      </c>
      <c r="T13" s="29">
        <f t="shared" si="14"/>
        <v>21.321506400000001</v>
      </c>
      <c r="U13" s="11"/>
      <c r="V13" s="28">
        <v>80</v>
      </c>
      <c r="W13" s="36">
        <f t="shared" si="2"/>
        <v>21.320715999999997</v>
      </c>
      <c r="X13" s="19"/>
      <c r="Y13" s="28">
        <v>80</v>
      </c>
      <c r="Z13" s="35">
        <f t="shared" si="3"/>
        <v>21.336561600000003</v>
      </c>
      <c r="AA13" s="11"/>
      <c r="AB13" s="28">
        <v>80</v>
      </c>
      <c r="AC13" s="20">
        <f t="shared" si="4"/>
        <v>21.333293600000001</v>
      </c>
      <c r="AE13" s="18">
        <v>80</v>
      </c>
      <c r="AF13" s="29">
        <f t="shared" si="5"/>
        <v>102.46466319999999</v>
      </c>
      <c r="AG13" s="11"/>
      <c r="AH13" s="28">
        <v>80</v>
      </c>
      <c r="AI13" s="29">
        <f t="shared" si="6"/>
        <v>100.630236</v>
      </c>
      <c r="AJ13" s="11"/>
      <c r="AK13" s="28">
        <v>80</v>
      </c>
      <c r="AL13" s="36">
        <f t="shared" si="7"/>
        <v>121.37491840000001</v>
      </c>
      <c r="AM13" s="19"/>
      <c r="AN13" s="28">
        <v>80</v>
      </c>
      <c r="AO13" s="35">
        <f t="shared" si="8"/>
        <v>154.92939920000001</v>
      </c>
      <c r="AP13" s="11"/>
      <c r="AQ13" s="28">
        <v>80</v>
      </c>
      <c r="AR13" s="20">
        <f t="shared" si="9"/>
        <v>163.85605920000003</v>
      </c>
    </row>
    <row r="14" spans="1:44" x14ac:dyDescent="0.25">
      <c r="A14" s="28">
        <v>90</v>
      </c>
      <c r="B14" s="29">
        <f t="shared" si="10"/>
        <v>155.3373819</v>
      </c>
      <c r="C14" s="11"/>
      <c r="D14" s="28">
        <v>90</v>
      </c>
      <c r="E14" s="29">
        <f t="shared" si="0"/>
        <v>153.34189920000003</v>
      </c>
      <c r="F14" s="11"/>
      <c r="G14" s="28">
        <v>90</v>
      </c>
      <c r="H14" s="32">
        <f t="shared" si="1"/>
        <v>180.21494969999998</v>
      </c>
      <c r="I14" s="19"/>
      <c r="J14" s="28">
        <v>90</v>
      </c>
      <c r="K14" s="29">
        <f t="shared" si="11"/>
        <v>220.6393209</v>
      </c>
      <c r="L14" s="11"/>
      <c r="M14" s="28">
        <v>90</v>
      </c>
      <c r="N14" s="20">
        <f t="shared" si="12"/>
        <v>233.45404290000002</v>
      </c>
      <c r="P14" s="18">
        <v>90</v>
      </c>
      <c r="Q14" s="29">
        <f t="shared" si="13"/>
        <v>26.356519800000001</v>
      </c>
      <c r="R14" s="11"/>
      <c r="S14" s="28">
        <v>90</v>
      </c>
      <c r="T14" s="29">
        <f t="shared" si="14"/>
        <v>26.3539557</v>
      </c>
      <c r="U14" s="11"/>
      <c r="V14" s="28">
        <v>90</v>
      </c>
      <c r="W14" s="36">
        <f t="shared" si="2"/>
        <v>26.359447499999998</v>
      </c>
      <c r="X14" s="19"/>
      <c r="Y14" s="28">
        <v>90</v>
      </c>
      <c r="Z14" s="35">
        <f t="shared" si="3"/>
        <v>26.3602098</v>
      </c>
      <c r="AA14" s="11"/>
      <c r="AB14" s="28">
        <v>90</v>
      </c>
      <c r="AC14" s="20">
        <f t="shared" si="4"/>
        <v>26.362698299999998</v>
      </c>
      <c r="AE14" s="18">
        <v>90</v>
      </c>
      <c r="AF14" s="29">
        <f t="shared" si="5"/>
        <v>128.9808621</v>
      </c>
      <c r="AG14" s="11"/>
      <c r="AH14" s="28">
        <v>90</v>
      </c>
      <c r="AI14" s="29">
        <f t="shared" si="6"/>
        <v>126.98794350000003</v>
      </c>
      <c r="AJ14" s="11"/>
      <c r="AK14" s="28">
        <v>90</v>
      </c>
      <c r="AL14" s="36">
        <f t="shared" si="7"/>
        <v>153.85550219999999</v>
      </c>
      <c r="AM14" s="19"/>
      <c r="AN14" s="28">
        <v>90</v>
      </c>
      <c r="AO14" s="35">
        <f t="shared" si="8"/>
        <v>194.27911109999999</v>
      </c>
      <c r="AP14" s="11"/>
      <c r="AQ14" s="28">
        <v>90</v>
      </c>
      <c r="AR14" s="20">
        <f t="shared" si="9"/>
        <v>207.09134460000001</v>
      </c>
    </row>
    <row r="15" spans="1:44" x14ac:dyDescent="0.25">
      <c r="A15" s="28">
        <v>100</v>
      </c>
      <c r="B15" s="29">
        <f t="shared" si="10"/>
        <v>190.45484099999999</v>
      </c>
      <c r="C15" s="11"/>
      <c r="D15" s="28">
        <v>100</v>
      </c>
      <c r="E15" s="29">
        <f t="shared" si="0"/>
        <v>188.32009800000003</v>
      </c>
      <c r="F15" s="11"/>
      <c r="G15" s="28">
        <v>100</v>
      </c>
      <c r="H15" s="32">
        <f t="shared" si="1"/>
        <v>222.10812300000001</v>
      </c>
      <c r="I15" s="19"/>
      <c r="J15" s="28">
        <v>100</v>
      </c>
      <c r="K15" s="29">
        <f t="shared" si="11"/>
        <v>269.97715099999999</v>
      </c>
      <c r="L15" s="11"/>
      <c r="M15" s="28">
        <v>100</v>
      </c>
      <c r="N15" s="20">
        <f t="shared" si="12"/>
        <v>287.30007100000006</v>
      </c>
      <c r="P15" s="18">
        <v>100</v>
      </c>
      <c r="Q15" s="29">
        <f t="shared" si="13"/>
        <v>31.911532000000001</v>
      </c>
      <c r="R15" s="11"/>
      <c r="S15" s="28">
        <v>100</v>
      </c>
      <c r="T15" s="29">
        <f t="shared" si="14"/>
        <v>31.912463000000002</v>
      </c>
      <c r="U15" s="11"/>
      <c r="V15" s="28">
        <v>100</v>
      </c>
      <c r="W15" s="36">
        <f t="shared" si="2"/>
        <v>31.925654999999999</v>
      </c>
      <c r="X15" s="19"/>
      <c r="Y15" s="28">
        <v>100</v>
      </c>
      <c r="Z15" s="35">
        <f t="shared" si="3"/>
        <v>31.907541999999999</v>
      </c>
      <c r="AA15" s="11"/>
      <c r="AB15" s="28">
        <v>100</v>
      </c>
      <c r="AC15" s="20">
        <f t="shared" si="4"/>
        <v>31.917156999999996</v>
      </c>
      <c r="AE15" s="18">
        <v>100</v>
      </c>
      <c r="AF15" s="29">
        <f t="shared" si="5"/>
        <v>158.54330899999999</v>
      </c>
      <c r="AG15" s="11"/>
      <c r="AH15" s="28">
        <v>100</v>
      </c>
      <c r="AI15" s="29">
        <f t="shared" si="6"/>
        <v>156.40763500000003</v>
      </c>
      <c r="AJ15" s="11"/>
      <c r="AK15" s="28">
        <v>100</v>
      </c>
      <c r="AL15" s="36">
        <f t="shared" si="7"/>
        <v>190.182468</v>
      </c>
      <c r="AM15" s="19"/>
      <c r="AN15" s="28">
        <v>100</v>
      </c>
      <c r="AO15" s="35">
        <f t="shared" si="8"/>
        <v>238.06960899999999</v>
      </c>
      <c r="AP15" s="11"/>
      <c r="AQ15" s="28">
        <v>100</v>
      </c>
      <c r="AR15" s="20">
        <f t="shared" si="9"/>
        <v>255.38291400000006</v>
      </c>
    </row>
    <row r="16" spans="1:44" x14ac:dyDescent="0.25">
      <c r="A16" s="28">
        <v>110</v>
      </c>
      <c r="B16" s="29">
        <f t="shared" si="10"/>
        <v>229.14385009999998</v>
      </c>
      <c r="C16" s="11"/>
      <c r="D16" s="28">
        <v>110</v>
      </c>
      <c r="E16" s="29">
        <f t="shared" si="0"/>
        <v>226.88633880000003</v>
      </c>
      <c r="F16" s="11"/>
      <c r="G16" s="28">
        <v>110</v>
      </c>
      <c r="H16" s="32">
        <f t="shared" si="1"/>
        <v>268.37515429999996</v>
      </c>
      <c r="I16" s="19"/>
      <c r="J16" s="28">
        <v>110</v>
      </c>
      <c r="K16" s="29">
        <f t="shared" si="11"/>
        <v>324.27945110000002</v>
      </c>
      <c r="L16" s="11"/>
      <c r="M16" s="28">
        <v>110</v>
      </c>
      <c r="N16" s="20">
        <f t="shared" si="12"/>
        <v>346.72743710000003</v>
      </c>
      <c r="P16" s="18">
        <v>110</v>
      </c>
      <c r="Q16" s="29">
        <f t="shared" si="13"/>
        <v>37.991846199999998</v>
      </c>
      <c r="R16" s="11"/>
      <c r="S16" s="28">
        <v>110</v>
      </c>
      <c r="T16" s="29">
        <f t="shared" si="14"/>
        <v>37.997028299999997</v>
      </c>
      <c r="U16" s="11"/>
      <c r="V16" s="28">
        <v>110</v>
      </c>
      <c r="W16" s="36">
        <f t="shared" si="2"/>
        <v>38.019338500000003</v>
      </c>
      <c r="X16" s="19"/>
      <c r="Y16" s="28">
        <v>110</v>
      </c>
      <c r="Z16" s="35">
        <f t="shared" si="3"/>
        <v>37.978558200000002</v>
      </c>
      <c r="AA16" s="11"/>
      <c r="AB16" s="28">
        <v>110</v>
      </c>
      <c r="AC16" s="20">
        <f t="shared" si="4"/>
        <v>37.996669699999998</v>
      </c>
      <c r="AE16" s="18">
        <v>110</v>
      </c>
      <c r="AF16" s="29">
        <f t="shared" si="5"/>
        <v>191.15200389999998</v>
      </c>
      <c r="AG16" s="11"/>
      <c r="AH16" s="28">
        <v>110</v>
      </c>
      <c r="AI16" s="29">
        <f t="shared" si="6"/>
        <v>188.88931050000002</v>
      </c>
      <c r="AJ16" s="11"/>
      <c r="AK16" s="28">
        <v>110</v>
      </c>
      <c r="AL16" s="36">
        <f t="shared" si="7"/>
        <v>230.35581579999996</v>
      </c>
      <c r="AM16" s="19"/>
      <c r="AN16" s="28">
        <v>110</v>
      </c>
      <c r="AO16" s="35">
        <f t="shared" si="8"/>
        <v>286.30089290000001</v>
      </c>
      <c r="AP16" s="11"/>
      <c r="AQ16" s="28">
        <v>110</v>
      </c>
      <c r="AR16" s="20">
        <f t="shared" si="9"/>
        <v>308.73076740000005</v>
      </c>
    </row>
    <row r="17" spans="1:44" x14ac:dyDescent="0.25">
      <c r="A17" s="28">
        <v>120</v>
      </c>
      <c r="B17" s="29">
        <f t="shared" si="10"/>
        <v>271.40440919999998</v>
      </c>
      <c r="C17" s="11"/>
      <c r="D17" s="28">
        <v>120</v>
      </c>
      <c r="E17" s="29">
        <f xml:space="preserve"> 0.01794021*D17^2 + 0.08917998*D17</f>
        <v>269.04062160000001</v>
      </c>
      <c r="F17" s="11"/>
      <c r="G17" s="28">
        <v>120</v>
      </c>
      <c r="H17" s="32">
        <f t="shared" si="1"/>
        <v>319.01604359999999</v>
      </c>
      <c r="I17" s="19"/>
      <c r="J17" s="28">
        <v>120</v>
      </c>
      <c r="K17" s="29">
        <f t="shared" si="11"/>
        <v>383.54622119999999</v>
      </c>
      <c r="L17" s="11"/>
      <c r="M17" s="28">
        <v>120</v>
      </c>
      <c r="N17" s="20">
        <f t="shared" si="12"/>
        <v>411.73614120000002</v>
      </c>
      <c r="P17" s="18">
        <v>120</v>
      </c>
      <c r="Q17" s="29">
        <f t="shared" si="13"/>
        <v>44.597462399999998</v>
      </c>
      <c r="R17" s="11"/>
      <c r="S17" s="28">
        <v>120</v>
      </c>
      <c r="T17" s="29">
        <f t="shared" si="14"/>
        <v>44.607651600000004</v>
      </c>
      <c r="U17" s="11"/>
      <c r="V17" s="28">
        <v>120</v>
      </c>
      <c r="W17" s="36">
        <f t="shared" si="2"/>
        <v>44.640497999999994</v>
      </c>
      <c r="X17" s="19"/>
      <c r="Y17" s="28">
        <v>120</v>
      </c>
      <c r="Z17" s="35">
        <f t="shared" si="3"/>
        <v>44.573258400000007</v>
      </c>
      <c r="AA17" s="11"/>
      <c r="AB17" s="28">
        <v>120</v>
      </c>
      <c r="AC17" s="20">
        <f t="shared" si="4"/>
        <v>44.601236399999998</v>
      </c>
      <c r="AE17" s="18">
        <v>120</v>
      </c>
      <c r="AF17" s="29">
        <f t="shared" si="5"/>
        <v>226.80694679999999</v>
      </c>
      <c r="AG17" s="11"/>
      <c r="AH17" s="28">
        <v>120</v>
      </c>
      <c r="AI17" s="29">
        <f t="shared" si="6"/>
        <v>224.43297000000001</v>
      </c>
      <c r="AJ17" s="11"/>
      <c r="AK17" s="28">
        <v>120</v>
      </c>
      <c r="AL17" s="36">
        <f t="shared" si="7"/>
        <v>274.37554560000001</v>
      </c>
      <c r="AM17" s="19"/>
      <c r="AN17" s="28">
        <v>120</v>
      </c>
      <c r="AO17" s="35">
        <f t="shared" si="8"/>
        <v>338.9729628</v>
      </c>
      <c r="AP17" s="11"/>
      <c r="AQ17" s="28">
        <v>120</v>
      </c>
      <c r="AR17" s="20">
        <f t="shared" si="9"/>
        <v>367.13490480000002</v>
      </c>
    </row>
    <row r="18" spans="1:44" x14ac:dyDescent="0.25">
      <c r="A18" s="28">
        <v>130</v>
      </c>
      <c r="B18" s="29">
        <f t="shared" si="10"/>
        <v>317.2365183</v>
      </c>
      <c r="C18" s="11"/>
      <c r="D18" s="28">
        <v>130</v>
      </c>
      <c r="E18" s="29">
        <f t="shared" si="0"/>
        <v>314.78294640000001</v>
      </c>
      <c r="F18" s="11"/>
      <c r="G18" s="28">
        <v>130</v>
      </c>
      <c r="H18" s="32">
        <f t="shared" si="1"/>
        <v>374.0307909</v>
      </c>
      <c r="I18" s="19"/>
      <c r="J18" s="28">
        <v>130</v>
      </c>
      <c r="K18" s="29">
        <f t="shared" si="11"/>
        <v>447.77746130000003</v>
      </c>
      <c r="L18" s="11"/>
      <c r="M18" s="28">
        <v>130</v>
      </c>
      <c r="N18" s="20">
        <f t="shared" si="12"/>
        <v>482.32618330000003</v>
      </c>
      <c r="P18" s="18">
        <v>130</v>
      </c>
      <c r="Q18" s="29">
        <f t="shared" si="13"/>
        <v>51.728380600000001</v>
      </c>
      <c r="R18" s="11"/>
      <c r="S18" s="28">
        <v>130</v>
      </c>
      <c r="T18" s="29">
        <f t="shared" si="14"/>
        <v>51.744332900000003</v>
      </c>
      <c r="U18" s="11"/>
      <c r="V18" s="28">
        <v>130</v>
      </c>
      <c r="W18" s="36">
        <f t="shared" si="2"/>
        <v>51.789133499999998</v>
      </c>
      <c r="X18" s="19"/>
      <c r="Y18" s="28">
        <v>130</v>
      </c>
      <c r="Z18" s="35">
        <f t="shared" si="3"/>
        <v>51.691642600000009</v>
      </c>
      <c r="AA18" s="11"/>
      <c r="AB18" s="28">
        <v>130</v>
      </c>
      <c r="AC18" s="20">
        <f t="shared" si="4"/>
        <v>51.730857099999994</v>
      </c>
      <c r="AE18" s="18">
        <v>130</v>
      </c>
      <c r="AF18" s="29">
        <f t="shared" si="5"/>
        <v>265.50813770000002</v>
      </c>
      <c r="AG18" s="11"/>
      <c r="AH18" s="28">
        <v>130</v>
      </c>
      <c r="AI18" s="29">
        <f t="shared" si="6"/>
        <v>263.0386135</v>
      </c>
      <c r="AJ18" s="11"/>
      <c r="AK18" s="28">
        <v>130</v>
      </c>
      <c r="AL18" s="36">
        <f t="shared" si="7"/>
        <v>322.24165740000001</v>
      </c>
      <c r="AM18" s="19"/>
      <c r="AN18" s="28">
        <v>130</v>
      </c>
      <c r="AO18" s="35">
        <f t="shared" si="8"/>
        <v>396.0858187</v>
      </c>
      <c r="AP18" s="11"/>
      <c r="AQ18" s="28">
        <v>130</v>
      </c>
      <c r="AR18" s="20">
        <f t="shared" si="9"/>
        <v>430.59532620000004</v>
      </c>
    </row>
    <row r="19" spans="1:44" x14ac:dyDescent="0.25">
      <c r="A19" s="28">
        <v>140</v>
      </c>
      <c r="B19" s="29">
        <f t="shared" si="10"/>
        <v>366.64017739999997</v>
      </c>
      <c r="C19" s="11"/>
      <c r="D19" s="28">
        <v>140</v>
      </c>
      <c r="E19" s="29">
        <f t="shared" si="0"/>
        <v>364.11331320000005</v>
      </c>
      <c r="F19" s="11"/>
      <c r="G19" s="28">
        <v>140</v>
      </c>
      <c r="H19" s="32">
        <f t="shared" si="1"/>
        <v>433.41939619999999</v>
      </c>
      <c r="I19" s="19"/>
      <c r="J19" s="28">
        <v>140</v>
      </c>
      <c r="K19" s="29">
        <f t="shared" si="11"/>
        <v>516.97317139999996</v>
      </c>
      <c r="L19" s="11"/>
      <c r="M19" s="28">
        <v>140</v>
      </c>
      <c r="N19" s="20">
        <f t="shared" si="12"/>
        <v>558.49756339999999</v>
      </c>
      <c r="P19" s="18">
        <v>140</v>
      </c>
      <c r="Q19" s="29">
        <f t="shared" si="13"/>
        <v>59.384600800000001</v>
      </c>
      <c r="R19" s="11"/>
      <c r="S19" s="28">
        <v>140</v>
      </c>
      <c r="T19" s="29">
        <f t="shared" si="14"/>
        <v>59.407072199999995</v>
      </c>
      <c r="U19" s="11"/>
      <c r="V19" s="28">
        <v>140</v>
      </c>
      <c r="W19" s="36">
        <f t="shared" si="2"/>
        <v>59.465244999999996</v>
      </c>
      <c r="X19" s="19"/>
      <c r="Y19" s="28">
        <v>140</v>
      </c>
      <c r="Z19" s="35">
        <f t="shared" si="3"/>
        <v>59.333710800000006</v>
      </c>
      <c r="AA19" s="11"/>
      <c r="AB19" s="28">
        <v>140</v>
      </c>
      <c r="AC19" s="20">
        <f t="shared" si="4"/>
        <v>59.385531800000003</v>
      </c>
      <c r="AE19" s="18">
        <v>140</v>
      </c>
      <c r="AF19" s="29">
        <f t="shared" si="5"/>
        <v>307.25557659999998</v>
      </c>
      <c r="AG19" s="11"/>
      <c r="AH19" s="28">
        <v>140</v>
      </c>
      <c r="AI19" s="29">
        <f t="shared" si="6"/>
        <v>304.70624100000003</v>
      </c>
      <c r="AJ19" s="11"/>
      <c r="AK19" s="28">
        <v>140</v>
      </c>
      <c r="AL19" s="36">
        <f t="shared" si="7"/>
        <v>373.95415120000001</v>
      </c>
      <c r="AM19" s="19"/>
      <c r="AN19" s="28">
        <v>140</v>
      </c>
      <c r="AO19" s="35">
        <f t="shared" si="8"/>
        <v>457.63946059999995</v>
      </c>
      <c r="AP19" s="11"/>
      <c r="AQ19" s="28">
        <v>140</v>
      </c>
      <c r="AR19" s="20">
        <f t="shared" si="9"/>
        <v>499.11203159999997</v>
      </c>
    </row>
    <row r="20" spans="1:44" x14ac:dyDescent="0.25">
      <c r="A20" s="28">
        <v>150</v>
      </c>
      <c r="B20" s="29">
        <f t="shared" si="10"/>
        <v>419.61538649999994</v>
      </c>
      <c r="C20" s="11"/>
      <c r="D20" s="28">
        <v>150</v>
      </c>
      <c r="E20" s="29">
        <f t="shared" si="0"/>
        <v>417.03172200000006</v>
      </c>
      <c r="F20" s="11"/>
      <c r="G20" s="28">
        <v>150</v>
      </c>
      <c r="H20" s="32">
        <f t="shared" si="1"/>
        <v>497.18185949999997</v>
      </c>
      <c r="I20" s="19"/>
      <c r="J20" s="28">
        <v>150</v>
      </c>
      <c r="K20" s="29">
        <f t="shared" si="11"/>
        <v>591.1333515</v>
      </c>
      <c r="L20" s="11"/>
      <c r="M20" s="28">
        <v>150</v>
      </c>
      <c r="N20" s="20">
        <f t="shared" si="12"/>
        <v>640.25028150000003</v>
      </c>
      <c r="P20" s="18">
        <v>150</v>
      </c>
      <c r="Q20" s="29">
        <f t="shared" si="13"/>
        <v>67.566123000000005</v>
      </c>
      <c r="R20" s="11"/>
      <c r="S20" s="28">
        <v>150</v>
      </c>
      <c r="T20" s="29">
        <f t="shared" si="14"/>
        <v>67.595869500000006</v>
      </c>
      <c r="U20" s="11"/>
      <c r="V20" s="28">
        <v>150</v>
      </c>
      <c r="W20" s="36">
        <f t="shared" si="2"/>
        <v>67.668832499999994</v>
      </c>
      <c r="X20" s="19"/>
      <c r="Y20" s="28">
        <v>150</v>
      </c>
      <c r="Z20" s="35">
        <f t="shared" si="3"/>
        <v>67.499463000000006</v>
      </c>
      <c r="AA20" s="11"/>
      <c r="AB20" s="28">
        <v>150</v>
      </c>
      <c r="AC20" s="20">
        <f t="shared" si="4"/>
        <v>67.565260499999994</v>
      </c>
      <c r="AE20" s="18">
        <v>150</v>
      </c>
      <c r="AF20" s="29">
        <f t="shared" si="5"/>
        <v>352.04926349999994</v>
      </c>
      <c r="AG20" s="11"/>
      <c r="AH20" s="28">
        <v>150</v>
      </c>
      <c r="AI20" s="29">
        <f t="shared" si="6"/>
        <v>349.43585250000007</v>
      </c>
      <c r="AJ20" s="11"/>
      <c r="AK20" s="28">
        <v>150</v>
      </c>
      <c r="AL20" s="36">
        <f t="shared" si="7"/>
        <v>429.51302699999997</v>
      </c>
      <c r="AM20" s="19"/>
      <c r="AN20" s="28">
        <v>150</v>
      </c>
      <c r="AO20" s="35">
        <f t="shared" si="8"/>
        <v>523.63388850000001</v>
      </c>
      <c r="AP20" s="11"/>
      <c r="AQ20" s="28">
        <v>150</v>
      </c>
      <c r="AR20" s="20">
        <f t="shared" si="9"/>
        <v>572.68502100000001</v>
      </c>
    </row>
    <row r="21" spans="1:44" x14ac:dyDescent="0.25">
      <c r="A21" s="28">
        <v>160</v>
      </c>
      <c r="B21" s="29">
        <f t="shared" si="10"/>
        <v>476.16214559999997</v>
      </c>
      <c r="C21" s="11"/>
      <c r="D21" s="28">
        <v>160</v>
      </c>
      <c r="E21" s="29">
        <f t="shared" si="0"/>
        <v>473.53817280000004</v>
      </c>
      <c r="F21" s="11"/>
      <c r="G21" s="28">
        <v>160</v>
      </c>
      <c r="H21" s="32">
        <f t="shared" si="1"/>
        <v>565.31818080000005</v>
      </c>
      <c r="I21" s="19"/>
      <c r="J21" s="28">
        <v>160</v>
      </c>
      <c r="K21" s="29">
        <f t="shared" si="11"/>
        <v>670.25800160000006</v>
      </c>
      <c r="L21" s="11"/>
      <c r="M21" s="28">
        <v>160</v>
      </c>
      <c r="N21" s="20">
        <f t="shared" si="12"/>
        <v>727.58433760000003</v>
      </c>
      <c r="P21" s="18">
        <v>160</v>
      </c>
      <c r="Q21" s="29">
        <f t="shared" si="13"/>
        <v>76.27294719999999</v>
      </c>
      <c r="R21" s="11"/>
      <c r="S21" s="28">
        <v>160</v>
      </c>
      <c r="T21" s="29">
        <f t="shared" si="14"/>
        <v>76.310724800000003</v>
      </c>
      <c r="U21" s="11"/>
      <c r="V21" s="28">
        <v>160</v>
      </c>
      <c r="W21" s="36">
        <f t="shared" si="2"/>
        <v>76.399895999999998</v>
      </c>
      <c r="X21" s="19"/>
      <c r="Y21" s="28">
        <v>160</v>
      </c>
      <c r="Z21" s="35">
        <f t="shared" si="3"/>
        <v>76.188899200000009</v>
      </c>
      <c r="AA21" s="11"/>
      <c r="AB21" s="28">
        <v>160</v>
      </c>
      <c r="AC21" s="20">
        <f t="shared" si="4"/>
        <v>76.270043200000003</v>
      </c>
      <c r="AE21" s="18">
        <v>160</v>
      </c>
      <c r="AF21" s="29">
        <f t="shared" si="5"/>
        <v>399.8891984</v>
      </c>
      <c r="AG21" s="11"/>
      <c r="AH21" s="28">
        <v>160</v>
      </c>
      <c r="AI21" s="29">
        <f t="shared" si="6"/>
        <v>397.22744800000004</v>
      </c>
      <c r="AJ21" s="11"/>
      <c r="AK21" s="28">
        <v>160</v>
      </c>
      <c r="AL21" s="36">
        <f t="shared" si="7"/>
        <v>488.91828480000004</v>
      </c>
      <c r="AM21" s="19"/>
      <c r="AN21" s="28">
        <v>160</v>
      </c>
      <c r="AO21" s="35">
        <f t="shared" si="8"/>
        <v>594.06910240000002</v>
      </c>
      <c r="AP21" s="11"/>
      <c r="AQ21" s="28">
        <v>160</v>
      </c>
      <c r="AR21" s="20">
        <f t="shared" si="9"/>
        <v>651.31429439999999</v>
      </c>
    </row>
    <row r="22" spans="1:44" x14ac:dyDescent="0.25">
      <c r="A22" s="28">
        <v>170</v>
      </c>
      <c r="B22" s="29">
        <f t="shared" si="10"/>
        <v>536.28045469999995</v>
      </c>
      <c r="C22" s="11"/>
      <c r="D22" s="28">
        <v>170</v>
      </c>
      <c r="E22" s="29">
        <f t="shared" si="0"/>
        <v>533.6326656</v>
      </c>
      <c r="F22" s="11"/>
      <c r="G22" s="28">
        <v>170</v>
      </c>
      <c r="H22" s="32">
        <f t="shared" si="1"/>
        <v>637.82836009999994</v>
      </c>
      <c r="I22" s="19"/>
      <c r="J22" s="28">
        <v>170</v>
      </c>
      <c r="K22" s="29">
        <f t="shared" si="11"/>
        <v>754.3471217</v>
      </c>
      <c r="L22" s="11"/>
      <c r="M22" s="28">
        <v>170</v>
      </c>
      <c r="N22" s="20">
        <f t="shared" si="12"/>
        <v>820.4997317000001</v>
      </c>
      <c r="P22" s="18">
        <v>170</v>
      </c>
      <c r="Q22" s="29">
        <f t="shared" si="13"/>
        <v>85.505073400000001</v>
      </c>
      <c r="R22" s="11"/>
      <c r="S22" s="28">
        <v>170</v>
      </c>
      <c r="T22" s="29">
        <f t="shared" si="14"/>
        <v>85.551638100000005</v>
      </c>
      <c r="U22" s="11"/>
      <c r="V22" s="28">
        <v>170</v>
      </c>
      <c r="W22" s="36">
        <f t="shared" si="2"/>
        <v>85.658435499999996</v>
      </c>
      <c r="X22" s="19"/>
      <c r="Y22" s="28">
        <v>170</v>
      </c>
      <c r="Z22" s="35">
        <f t="shared" si="3"/>
        <v>85.402019400000015</v>
      </c>
      <c r="AA22" s="11"/>
      <c r="AB22" s="28">
        <v>170</v>
      </c>
      <c r="AC22" s="20">
        <f t="shared" si="4"/>
        <v>85.499879899999996</v>
      </c>
      <c r="AE22" s="18">
        <v>170</v>
      </c>
      <c r="AF22" s="29">
        <f t="shared" si="5"/>
        <v>450.77538129999994</v>
      </c>
      <c r="AG22" s="11"/>
      <c r="AH22" s="28">
        <v>170</v>
      </c>
      <c r="AI22" s="29">
        <f t="shared" si="6"/>
        <v>448.0810275</v>
      </c>
      <c r="AJ22" s="11"/>
      <c r="AK22" s="28">
        <v>170</v>
      </c>
      <c r="AL22" s="36">
        <f t="shared" si="7"/>
        <v>552.16992459999994</v>
      </c>
      <c r="AM22" s="19"/>
      <c r="AN22" s="28">
        <v>170</v>
      </c>
      <c r="AO22" s="35">
        <f t="shared" si="8"/>
        <v>668.94510230000003</v>
      </c>
      <c r="AP22" s="11"/>
      <c r="AQ22" s="28">
        <v>170</v>
      </c>
      <c r="AR22" s="20">
        <f t="shared" si="9"/>
        <v>734.9998518000001</v>
      </c>
    </row>
    <row r="23" spans="1:44" x14ac:dyDescent="0.25">
      <c r="A23" s="28">
        <v>180</v>
      </c>
      <c r="B23" s="29">
        <f t="shared" si="10"/>
        <v>599.97031379999999</v>
      </c>
      <c r="C23" s="11"/>
      <c r="D23" s="28">
        <v>180</v>
      </c>
      <c r="E23" s="29">
        <f t="shared" si="0"/>
        <v>597.31520040000009</v>
      </c>
      <c r="F23" s="11"/>
      <c r="G23" s="28">
        <v>180</v>
      </c>
      <c r="H23" s="32">
        <f t="shared" si="1"/>
        <v>714.71239739999999</v>
      </c>
      <c r="I23" s="19"/>
      <c r="J23" s="28">
        <v>180</v>
      </c>
      <c r="K23" s="29">
        <f t="shared" si="11"/>
        <v>843.40071179999995</v>
      </c>
      <c r="L23" s="11"/>
      <c r="M23" s="28">
        <v>180</v>
      </c>
      <c r="N23" s="20">
        <f t="shared" si="12"/>
        <v>918.99646380000001</v>
      </c>
      <c r="P23" s="18">
        <v>180</v>
      </c>
      <c r="Q23" s="29">
        <f t="shared" si="13"/>
        <v>95.262501599999993</v>
      </c>
      <c r="R23" s="11"/>
      <c r="S23" s="28">
        <v>180</v>
      </c>
      <c r="T23" s="29">
        <f t="shared" si="14"/>
        <v>95.3186094</v>
      </c>
      <c r="U23" s="11"/>
      <c r="V23" s="28">
        <v>180</v>
      </c>
      <c r="W23" s="36">
        <f t="shared" si="2"/>
        <v>95.444451000000001</v>
      </c>
      <c r="X23" s="19"/>
      <c r="Y23" s="28">
        <v>180</v>
      </c>
      <c r="Z23" s="35">
        <f t="shared" si="3"/>
        <v>95.138823600000009</v>
      </c>
      <c r="AA23" s="11"/>
      <c r="AB23" s="28">
        <v>180</v>
      </c>
      <c r="AC23" s="20">
        <f t="shared" si="4"/>
        <v>95.254770600000001</v>
      </c>
      <c r="AE23" s="18">
        <v>180</v>
      </c>
      <c r="AF23" s="29">
        <f t="shared" si="5"/>
        <v>504.70781219999998</v>
      </c>
      <c r="AG23" s="11"/>
      <c r="AH23" s="28">
        <v>180</v>
      </c>
      <c r="AI23" s="29">
        <f t="shared" si="6"/>
        <v>501.99659100000008</v>
      </c>
      <c r="AJ23" s="11"/>
      <c r="AK23" s="28">
        <v>180</v>
      </c>
      <c r="AL23" s="36">
        <f t="shared" si="7"/>
        <v>619.26794640000003</v>
      </c>
      <c r="AM23" s="19"/>
      <c r="AN23" s="28">
        <v>180</v>
      </c>
      <c r="AO23" s="35">
        <f t="shared" si="8"/>
        <v>748.26188819999993</v>
      </c>
      <c r="AP23" s="11"/>
      <c r="AQ23" s="28">
        <v>180</v>
      </c>
      <c r="AR23" s="20">
        <f t="shared" si="9"/>
        <v>823.74169319999999</v>
      </c>
    </row>
    <row r="24" spans="1:44" x14ac:dyDescent="0.25">
      <c r="A24" s="28">
        <v>190</v>
      </c>
      <c r="B24" s="29">
        <f t="shared" si="10"/>
        <v>667.23172289999991</v>
      </c>
      <c r="C24" s="11"/>
      <c r="D24" s="28">
        <v>190</v>
      </c>
      <c r="E24" s="29">
        <f t="shared" si="0"/>
        <v>664.58577720000005</v>
      </c>
      <c r="F24" s="11"/>
      <c r="G24" s="28">
        <v>190</v>
      </c>
      <c r="H24" s="32">
        <f t="shared" si="1"/>
        <v>795.97029269999996</v>
      </c>
      <c r="I24" s="19"/>
      <c r="J24" s="28">
        <v>190</v>
      </c>
      <c r="K24" s="29">
        <f t="shared" si="11"/>
        <v>937.41877189999991</v>
      </c>
      <c r="L24" s="11"/>
      <c r="M24" s="28">
        <v>190</v>
      </c>
      <c r="N24" s="20">
        <f t="shared" si="12"/>
        <v>1023.0745339</v>
      </c>
      <c r="P24" s="18">
        <v>190</v>
      </c>
      <c r="Q24" s="29">
        <f t="shared" si="13"/>
        <v>105.5452318</v>
      </c>
      <c r="R24" s="11"/>
      <c r="S24" s="28">
        <v>190</v>
      </c>
      <c r="T24" s="29">
        <f t="shared" si="14"/>
        <v>105.6116387</v>
      </c>
      <c r="U24" s="11"/>
      <c r="V24" s="28">
        <v>190</v>
      </c>
      <c r="W24" s="36">
        <f t="shared" si="2"/>
        <v>105.7579425</v>
      </c>
      <c r="X24" s="19"/>
      <c r="Y24" s="28">
        <v>190</v>
      </c>
      <c r="Z24" s="35">
        <f t="shared" si="3"/>
        <v>105.39931180000001</v>
      </c>
      <c r="AA24" s="11"/>
      <c r="AB24" s="28">
        <v>190</v>
      </c>
      <c r="AC24" s="20">
        <f t="shared" si="4"/>
        <v>105.53471529999999</v>
      </c>
      <c r="AE24" s="18">
        <v>190</v>
      </c>
      <c r="AF24" s="29">
        <f t="shared" si="5"/>
        <v>561.6864910999999</v>
      </c>
      <c r="AG24" s="11"/>
      <c r="AH24" s="28">
        <v>190</v>
      </c>
      <c r="AI24" s="29">
        <f t="shared" si="6"/>
        <v>558.97413850000009</v>
      </c>
      <c r="AJ24" s="11"/>
      <c r="AK24" s="28">
        <v>190</v>
      </c>
      <c r="AL24" s="36">
        <f t="shared" si="7"/>
        <v>690.21235019999995</v>
      </c>
      <c r="AM24" s="19"/>
      <c r="AN24" s="28">
        <v>190</v>
      </c>
      <c r="AO24" s="35">
        <f t="shared" si="8"/>
        <v>832.01946009999995</v>
      </c>
      <c r="AP24" s="11"/>
      <c r="AQ24" s="28">
        <v>190</v>
      </c>
      <c r="AR24" s="20">
        <f t="shared" si="9"/>
        <v>917.53981859999999</v>
      </c>
    </row>
    <row r="25" spans="1:44" ht="15.75" thickBot="1" x14ac:dyDescent="0.3">
      <c r="A25" s="30">
        <v>200</v>
      </c>
      <c r="B25" s="31">
        <f t="shared" si="10"/>
        <v>738.06468199999995</v>
      </c>
      <c r="C25" s="23"/>
      <c r="D25" s="30">
        <v>200</v>
      </c>
      <c r="E25" s="31">
        <f t="shared" si="0"/>
        <v>735.4443960000001</v>
      </c>
      <c r="F25" s="23"/>
      <c r="G25" s="30">
        <v>200</v>
      </c>
      <c r="H25" s="33">
        <f t="shared" si="1"/>
        <v>881.60204600000009</v>
      </c>
      <c r="I25" s="22"/>
      <c r="J25" s="30">
        <v>200</v>
      </c>
      <c r="K25" s="31">
        <f t="shared" si="11"/>
        <v>1036.401302</v>
      </c>
      <c r="L25" s="23"/>
      <c r="M25" s="30">
        <v>200</v>
      </c>
      <c r="N25" s="24">
        <f t="shared" si="12"/>
        <v>1132.7339420000001</v>
      </c>
      <c r="P25" s="21">
        <v>200</v>
      </c>
      <c r="Q25" s="31">
        <f t="shared" si="13"/>
        <v>116.353264</v>
      </c>
      <c r="R25" s="23"/>
      <c r="S25" s="30">
        <v>200</v>
      </c>
      <c r="T25" s="31">
        <f t="shared" si="14"/>
        <v>116.43072600000001</v>
      </c>
      <c r="U25" s="23"/>
      <c r="V25" s="30">
        <v>200</v>
      </c>
      <c r="W25" s="37">
        <f t="shared" si="2"/>
        <v>116.59890999999999</v>
      </c>
      <c r="X25" s="22"/>
      <c r="Y25" s="30">
        <v>200</v>
      </c>
      <c r="Z25" s="38">
        <f t="shared" si="3"/>
        <v>116.18348400000001</v>
      </c>
      <c r="AA25" s="23"/>
      <c r="AB25" s="30">
        <v>200</v>
      </c>
      <c r="AC25" s="24">
        <f t="shared" si="4"/>
        <v>116.33971399999999</v>
      </c>
      <c r="AE25" s="21">
        <v>200</v>
      </c>
      <c r="AF25" s="31">
        <f t="shared" si="5"/>
        <v>621.71141799999998</v>
      </c>
      <c r="AG25" s="23"/>
      <c r="AH25" s="30">
        <v>200</v>
      </c>
      <c r="AI25" s="31">
        <f t="shared" si="6"/>
        <v>619.01367000000005</v>
      </c>
      <c r="AJ25" s="23"/>
      <c r="AK25" s="30">
        <v>200</v>
      </c>
      <c r="AL25" s="37">
        <f t="shared" si="7"/>
        <v>765.00313600000004</v>
      </c>
      <c r="AM25" s="22"/>
      <c r="AN25" s="30">
        <v>200</v>
      </c>
      <c r="AO25" s="38">
        <f t="shared" si="8"/>
        <v>920.21781799999997</v>
      </c>
      <c r="AP25" s="23"/>
      <c r="AQ25" s="30">
        <v>200</v>
      </c>
      <c r="AR25" s="24">
        <f t="shared" si="9"/>
        <v>1016.3942280000001</v>
      </c>
    </row>
  </sheetData>
  <mergeCells count="16">
    <mergeCell ref="A1:C1"/>
    <mergeCell ref="M3:N3"/>
    <mergeCell ref="A3:B3"/>
    <mergeCell ref="D3:E3"/>
    <mergeCell ref="G3:H3"/>
    <mergeCell ref="J3:K3"/>
    <mergeCell ref="P3:Q3"/>
    <mergeCell ref="S3:T3"/>
    <mergeCell ref="V3:W3"/>
    <mergeCell ref="Y3:Z3"/>
    <mergeCell ref="AB3:AC3"/>
    <mergeCell ref="AE3:AF3"/>
    <mergeCell ref="AH3:AI3"/>
    <mergeCell ref="AK3:AL3"/>
    <mergeCell ref="AN3:AO3"/>
    <mergeCell ref="AQ3:AR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D28" sqref="AD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Betjening og totaludskrift </vt:lpstr>
      <vt:lpstr>Udskriv diagram herfra</vt:lpstr>
      <vt:lpstr>Sheet1</vt:lpstr>
      <vt:lpstr>Sheet2 (2)</vt:lpstr>
      <vt:lpstr>Sheet2</vt:lpstr>
      <vt:lpstr>Sheet3</vt:lpstr>
    </vt:vector>
  </TitlesOfParts>
  <Company>Teknologisk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Bernard Rosenfeldt</dc:creator>
  <cp:lastModifiedBy>Kim Henriksen</cp:lastModifiedBy>
  <cp:lastPrinted>2015-09-11T13:17:58Z</cp:lastPrinted>
  <dcterms:created xsi:type="dcterms:W3CDTF">2012-03-06T14:56:12Z</dcterms:created>
  <dcterms:modified xsi:type="dcterms:W3CDTF">2015-09-18T10:18:13Z</dcterms:modified>
</cp:coreProperties>
</file>